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510" tabRatio="829" firstSheet="4" activeTab="9"/>
  </bookViews>
  <sheets>
    <sheet name="0-Instructions" sheetId="14" r:id="rId1"/>
    <sheet name="1-Project Information" sheetId="2" r:id="rId2"/>
    <sheet name="2-Soil depth and quality" sheetId="1" r:id="rId3"/>
    <sheet name="3-Tree retention and planting" sheetId="3" r:id="rId4"/>
    <sheet name="4-Cisterns &amp; rain barrels" sheetId="6" r:id="rId5"/>
    <sheet name="5-Rooftop disconnection" sheetId="4" r:id="rId6"/>
    <sheet name="6-Non-rooftop disconnection" sheetId="7" r:id="rId7"/>
    <sheet name="7-Drywell" sheetId="12" r:id="rId8"/>
    <sheet name="8-Bioretention and rain gardens" sheetId="9" r:id="rId9"/>
    <sheet name="9-Vegetated swale" sheetId="13" r:id="rId10"/>
    <sheet name="10-Infiltration trench" sheetId="10" r:id="rId11"/>
    <sheet name="11-Permeable pavers" sheetId="11" r:id="rId1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0" i="1" l="1"/>
  <c r="D48" i="1"/>
  <c r="D34" i="1"/>
  <c r="D32" i="1"/>
  <c r="J55" i="1" l="1"/>
  <c r="E27" i="13" l="1"/>
  <c r="H39" i="13" s="1"/>
  <c r="E27" i="9"/>
  <c r="H37" i="9" s="1"/>
  <c r="H50" i="10"/>
  <c r="H49" i="7" l="1"/>
  <c r="C47" i="7"/>
  <c r="F44" i="7"/>
  <c r="F42" i="7"/>
  <c r="D37" i="7"/>
  <c r="F43" i="7" s="1"/>
  <c r="F45" i="7" s="1"/>
  <c r="G39" i="4" l="1"/>
  <c r="G29" i="4"/>
  <c r="G19" i="4"/>
  <c r="H43" i="4"/>
  <c r="D49" i="6"/>
  <c r="D40" i="6"/>
  <c r="D31" i="6"/>
  <c r="D22" i="6"/>
  <c r="E39" i="11" l="1"/>
  <c r="G43" i="11" s="1"/>
  <c r="E26" i="11"/>
  <c r="G32" i="11" s="1"/>
  <c r="G47" i="10"/>
  <c r="G46" i="10"/>
  <c r="G44" i="10"/>
  <c r="G45" i="10" s="1"/>
  <c r="G48" i="10" s="1"/>
  <c r="E39" i="10"/>
  <c r="D41" i="4"/>
  <c r="D31" i="4"/>
  <c r="D50" i="6"/>
  <c r="D32" i="6"/>
  <c r="D23" i="6"/>
  <c r="G53" i="3"/>
  <c r="H49" i="3"/>
  <c r="H48" i="3"/>
  <c r="H47" i="3"/>
  <c r="H46" i="3"/>
  <c r="H51" i="3" s="1"/>
  <c r="D53" i="1"/>
  <c r="K53" i="1" s="1"/>
  <c r="K50" i="1"/>
  <c r="D37" i="1"/>
  <c r="K37" i="1" s="1"/>
  <c r="K34" i="1"/>
  <c r="C37" i="13"/>
  <c r="G33" i="13"/>
  <c r="D5" i="13"/>
  <c r="D4" i="13"/>
  <c r="C35" i="9"/>
  <c r="G45" i="11" l="1"/>
  <c r="H49" i="11"/>
  <c r="G47" i="11"/>
  <c r="G34" i="11"/>
  <c r="G30" i="11"/>
  <c r="H34" i="13"/>
  <c r="H35" i="13" s="1"/>
  <c r="G40" i="12"/>
  <c r="G41" i="12" s="1"/>
  <c r="G42" i="12"/>
  <c r="G43" i="12"/>
  <c r="G44" i="12" s="1"/>
  <c r="G45" i="12"/>
  <c r="E26" i="12"/>
  <c r="H47" i="12" l="1"/>
  <c r="G38" i="12"/>
  <c r="D5" i="12"/>
  <c r="D4" i="12"/>
  <c r="D5" i="11"/>
  <c r="D4" i="11"/>
  <c r="D5" i="10"/>
  <c r="D4" i="10"/>
  <c r="D5" i="9"/>
  <c r="D4" i="9"/>
  <c r="D5" i="7"/>
  <c r="D4" i="7"/>
  <c r="D5" i="4"/>
  <c r="D4" i="4"/>
  <c r="D5" i="6"/>
  <c r="D4" i="6"/>
  <c r="D5" i="3"/>
  <c r="D4" i="3"/>
  <c r="D5" i="1"/>
  <c r="D4" i="1"/>
  <c r="H25" i="3" l="1"/>
  <c r="H26" i="3"/>
  <c r="H28" i="3"/>
  <c r="H27" i="3"/>
  <c r="G32" i="3"/>
  <c r="H30" i="3" l="1"/>
  <c r="E13" i="11"/>
  <c r="G17" i="11" s="1"/>
  <c r="G33" i="10"/>
  <c r="G32" i="10"/>
  <c r="E25" i="10"/>
  <c r="G30" i="10" s="1"/>
  <c r="G31" i="10" s="1"/>
  <c r="G33" i="3" l="1"/>
  <c r="H56" i="3"/>
  <c r="G54" i="3"/>
  <c r="G34" i="10"/>
  <c r="G19" i="11"/>
  <c r="G21" i="11"/>
  <c r="D20" i="7" l="1"/>
  <c r="G32" i="9"/>
  <c r="G33" i="9" s="1"/>
  <c r="C30" i="7"/>
  <c r="F25" i="7"/>
  <c r="F26" i="7" l="1"/>
  <c r="D21" i="4"/>
  <c r="F27" i="7" l="1"/>
  <c r="F28" i="7" s="1"/>
  <c r="D13" i="6"/>
  <c r="D14" i="6" l="1"/>
  <c r="D21" i="1"/>
  <c r="K21" i="1" s="1"/>
  <c r="D18" i="1"/>
  <c r="K18" i="1" s="1"/>
  <c r="D16" i="1"/>
  <c r="H52" i="6" l="1"/>
  <c r="D41" i="6"/>
</calcChain>
</file>

<file path=xl/sharedStrings.xml><?xml version="1.0" encoding="utf-8"?>
<sst xmlns="http://schemas.openxmlformats.org/spreadsheetml/2006/main" count="683" uniqueCount="265">
  <si>
    <t>SCARIFICATION</t>
  </si>
  <si>
    <t>PRE-APPROVED AMENDMENT METHOD:</t>
  </si>
  <si>
    <t>MULCH</t>
  </si>
  <si>
    <t>PLANTING TYPE</t>
  </si>
  <si>
    <t xml:space="preserve">Square footage of this area: </t>
  </si>
  <si>
    <t>Topsoil import</t>
  </si>
  <si>
    <t>Amend with compost</t>
  </si>
  <si>
    <t>Stockpile and amend</t>
  </si>
  <si>
    <t>Subsoil will be scarified</t>
  </si>
  <si>
    <t>Turf</t>
  </si>
  <si>
    <t>Planting Beds</t>
  </si>
  <si>
    <t>Undisturbed native vegetation</t>
  </si>
  <si>
    <t xml:space="preserve">Other: </t>
  </si>
  <si>
    <t>square feet</t>
  </si>
  <si>
    <t>inches (depth) of scarification needed to achieve finished total 12" loosened depth.</t>
  </si>
  <si>
    <t>inches of compost or imported topsoil applied</t>
  </si>
  <si>
    <t>= cu. yards per 1,000 square feet</t>
  </si>
  <si>
    <t xml:space="preserve">× </t>
  </si>
  <si>
    <t>,000 square feet in this area</t>
  </si>
  <si>
    <t>,000 square feet to be mulched</t>
  </si>
  <si>
    <t>= cubic yards of mulch needed</t>
  </si>
  <si>
    <r>
      <t xml:space="preserve">× </t>
    </r>
    <r>
      <rPr>
        <u/>
        <sz val="10"/>
        <color theme="1"/>
        <rFont val="Garamond"/>
        <family val="1"/>
      </rPr>
      <t>3.1</t>
    </r>
    <r>
      <rPr>
        <sz val="10"/>
        <color theme="1"/>
        <rFont val="Garamond"/>
        <family val="1"/>
      </rPr>
      <t xml:space="preserve"> (conversion factor, inches to cubic yards)</t>
    </r>
  </si>
  <si>
    <t>PRODUCT:</t>
  </si>
  <si>
    <t>QUANTITY:</t>
  </si>
  <si>
    <t>CU. YDS.</t>
  </si>
  <si>
    <t>cubic yards</t>
  </si>
  <si>
    <t>stockpiled</t>
  </si>
  <si>
    <t>= cubic yards of amendment needed to cover this 
    area to designated depth</t>
  </si>
  <si>
    <t>× 6.2 (conversion factor, to give 2 in. mulch depth)</t>
  </si>
  <si>
    <t xml:space="preserve">POST-CONSTRUCTION SOIL DEPTH AND QUALITY, SOIL MANAGEMENT PLAN DETAILS </t>
  </si>
  <si>
    <t>Project Name/Number</t>
  </si>
  <si>
    <t>Name of Owner or Developer</t>
  </si>
  <si>
    <t>Total Project Site Area (acres)</t>
  </si>
  <si>
    <t>GREEN STORMWATER INFRASTRUCTURE SIMPLIFIED SIZING TOOL FOR SMALL PROJECTS</t>
  </si>
  <si>
    <t>PROJECT INFORMATION SUMMARY</t>
  </si>
  <si>
    <t>Application Submittal Date</t>
  </si>
  <si>
    <t>Name of Applicant (if different from Owner)</t>
  </si>
  <si>
    <t>Primary Contact Phone Number</t>
  </si>
  <si>
    <t>Primary Contact E-mail Address</t>
  </si>
  <si>
    <r>
      <t xml:space="preserve">Project Description
</t>
    </r>
    <r>
      <rPr>
        <sz val="10"/>
        <color indexed="8"/>
        <rFont val="Garamond"/>
        <family val="1"/>
      </rPr>
      <t>[Examples: “Single Family Residence,” “Parking Lot
Addition,” “Retail and Parking”]</t>
    </r>
  </si>
  <si>
    <r>
      <t xml:space="preserve">Total Earth Disturbance (square feet) 
</t>
    </r>
    <r>
      <rPr>
        <sz val="10"/>
        <color indexed="8"/>
        <rFont val="Garamond"/>
        <family val="1"/>
      </rPr>
      <t>[Sum of currently pervious areas that will be cleared, graded, or otherwise disturbed during construction]</t>
    </r>
  </si>
  <si>
    <r>
      <t xml:space="preserve">Total New Impervious Surface Area (square feet) 
</t>
    </r>
    <r>
      <rPr>
        <sz val="10"/>
        <color indexed="8"/>
        <rFont val="Garamond"/>
        <family val="1"/>
      </rPr>
      <t>[Sum of currently pervious areas that will be covered with new impervious surfaces]</t>
    </r>
  </si>
  <si>
    <r>
      <t xml:space="preserve">Project Location
</t>
    </r>
    <r>
      <rPr>
        <sz val="10"/>
        <color indexed="8"/>
        <rFont val="Garamond"/>
        <family val="1"/>
      </rPr>
      <t>[e911 Address, or intersection or parcel ID No.]</t>
    </r>
  </si>
  <si>
    <t>Site Plan Attached?</t>
  </si>
  <si>
    <t>Tree retention and planting</t>
  </si>
  <si>
    <t>Cisterns and rain barrels</t>
  </si>
  <si>
    <t>Rooftop disconnection</t>
  </si>
  <si>
    <t>Non-rooftop disconnection</t>
  </si>
  <si>
    <t>Drywell</t>
  </si>
  <si>
    <t>Rain garden / bioretention</t>
  </si>
  <si>
    <t>Vegetated swale</t>
  </si>
  <si>
    <t>Infiltration trench</t>
  </si>
  <si>
    <t>Permeable pavers</t>
  </si>
  <si>
    <t>Post-Construction Soil Depth and Quality (required)</t>
  </si>
  <si>
    <t>Green Stormwater Infrastructure Practices Selected</t>
  </si>
  <si>
    <t>X</t>
  </si>
  <si>
    <t>CISTERNS AND RAIN BARRELS SIZING DETAILS</t>
  </si>
  <si>
    <t xml:space="preserve">AREA NO. </t>
  </si>
  <si>
    <t>AREA NO.</t>
  </si>
  <si>
    <t xml:space="preserve"> (rooftop areas only)</t>
  </si>
  <si>
    <t>Rooftop area directed to cistern =</t>
  </si>
  <si>
    <t>gallons</t>
  </si>
  <si>
    <t>Cistern size needed =</t>
  </si>
  <si>
    <t xml:space="preserve"> Cistern volume = 0.56 gallons × total square feet of rooftop area directed to cistern</t>
  </si>
  <si>
    <t>square feet (maximum 1,000 square feet per downspout)</t>
  </si>
  <si>
    <t>ROOFTOP DISCONNECTION SIZING DETAILS</t>
  </si>
  <si>
    <t>Slope of the disconnection area:</t>
  </si>
  <si>
    <t>% (whole number slope %)</t>
  </si>
  <si>
    <t>Infiltration rate:</t>
  </si>
  <si>
    <t>inches / hour</t>
  </si>
  <si>
    <t xml:space="preserve">Square footage of rooftop area: </t>
  </si>
  <si>
    <t>Disconnection Area Slope</t>
  </si>
  <si>
    <t>HSG of soil in disconnection area</t>
  </si>
  <si>
    <t>Less than 8%</t>
  </si>
  <si>
    <t>8-15%</t>
  </si>
  <si>
    <t>A/B or infiltration rate &gt;=0.5 in./hr</t>
  </si>
  <si>
    <t>35 feet</t>
  </si>
  <si>
    <t>50 feet</t>
  </si>
  <si>
    <t>C/D or infiltration rate &lt; 0.5 in./hr</t>
  </si>
  <si>
    <t>65 feet</t>
  </si>
  <si>
    <t>85 feet</t>
  </si>
  <si>
    <t>Required Disconnection Area Width (across slope, on contour):</t>
  </si>
  <si>
    <t>feet</t>
  </si>
  <si>
    <t>Required Disconnection Area Length (down-slope):</t>
  </si>
  <si>
    <t>Grade controls every 20 feet are:</t>
  </si>
  <si>
    <t>DESIGN TABLE:</t>
  </si>
  <si>
    <t>Impervious Area Geometry</t>
  </si>
  <si>
    <t>Infiltration rate for filter strip</t>
  </si>
  <si>
    <t>Contributing flow path length (feet)</t>
  </si>
  <si>
    <t>Less than 4%</t>
  </si>
  <si>
    <t>4-6%</t>
  </si>
  <si>
    <t>6-8%</t>
  </si>
  <si>
    <t>Less than 1,000</t>
  </si>
  <si>
    <t>Infiltration rate &gt;=0.5 in./hr</t>
  </si>
  <si>
    <t>Infiltration rate &lt; 0.5 in./hr</t>
  </si>
  <si>
    <t>35-75</t>
  </si>
  <si>
    <t>1,000-5,000</t>
  </si>
  <si>
    <t>105 feet</t>
  </si>
  <si>
    <t>square feet (maximum 5,000 square feet per filter strip)</t>
  </si>
  <si>
    <t xml:space="preserve">Square footage of impervious area: </t>
  </si>
  <si>
    <t>Slope of the filter strip area:</t>
  </si>
  <si>
    <t>1-35</t>
  </si>
  <si>
    <t>Flow path length x 1.9 (up to 65 feet)</t>
  </si>
  <si>
    <t>Flow path length x 1.0 (up to 35 feet)</t>
  </si>
  <si>
    <t>Required Filter Strip Width (across slope, on contour):</t>
  </si>
  <si>
    <t>Total impervious area (square feet)</t>
  </si>
  <si>
    <t>Filter Strip Slope</t>
  </si>
  <si>
    <t>Gravel Diaphragm is:</t>
  </si>
  <si>
    <t xml:space="preserve">Type of impervious surface: </t>
  </si>
  <si>
    <t>Width of impervious surface:</t>
  </si>
  <si>
    <t>feet (measured at the down-slope edge parallel to contour)</t>
  </si>
  <si>
    <t>Length of impervious surface:</t>
  </si>
  <si>
    <t xml:space="preserve">SIZING CALCULATION RESULTS: </t>
  </si>
  <si>
    <t>SIZING CALCULATION RESULTS:</t>
  </si>
  <si>
    <t>Required Filter Strip Area:</t>
  </si>
  <si>
    <t>feet (measured from uphill to downhill edge, in flow direction)</t>
  </si>
  <si>
    <t>parking lot</t>
  </si>
  <si>
    <t>NON-ROOFTOP DISCONNECTION TO FILTER STRIP SIZING DETAILS</t>
  </si>
  <si>
    <t>Depth of Bioretention Soil Mix (inches)</t>
  </si>
  <si>
    <t>Ponding depth (inches):</t>
  </si>
  <si>
    <t>inches</t>
  </si>
  <si>
    <t>Depth of bioretention soil mix:</t>
  </si>
  <si>
    <t xml:space="preserve">Underdrain is: </t>
  </si>
  <si>
    <t>Volume of stormwater to be treated:</t>
  </si>
  <si>
    <t>cubic feet</t>
  </si>
  <si>
    <t>inches (minimum 18 inches, maximum 48 inches)</t>
  </si>
  <si>
    <t>Required Bioretention Bottom Area (not counting sides, berms, etc.):</t>
  </si>
  <si>
    <t>inches (minimum 6 inches, maximum 9 inches)</t>
  </si>
  <si>
    <t>BIORETENTION AND RAIN GARDENS SIZING DETAILS</t>
  </si>
  <si>
    <t>INFILTRATION TRENCH SIZING DETAILS</t>
  </si>
  <si>
    <t>(rooftop areas only)</t>
  </si>
  <si>
    <t>square feet (maximum 10,000 square feet per trench)</t>
  </si>
  <si>
    <t>Contributing rooftop impervious area (square feet)</t>
  </si>
  <si>
    <t>Required Infiltration Trench Length:</t>
  </si>
  <si>
    <t>Depth of aggregate in trench:</t>
  </si>
  <si>
    <t>Trench width:</t>
  </si>
  <si>
    <t>inches (minimum 18 inches, maximum 32 inches)</t>
  </si>
  <si>
    <t>inches (minimum 18 inches, maximum 36 inches)</t>
  </si>
  <si>
    <t>Trench Width:</t>
  </si>
  <si>
    <t xml:space="preserve">Total Aggregate Volume Needed: </t>
  </si>
  <si>
    <t>Trench Depth:</t>
  </si>
  <si>
    <t>PERMEABLE PAVER SYSTEM SIZING DETAILS</t>
  </si>
  <si>
    <t>Slope of proposed permeable paver area:</t>
  </si>
  <si>
    <t>Width of permeable paver surface:</t>
  </si>
  <si>
    <t>Length of permeable paver surface:</t>
  </si>
  <si>
    <t xml:space="preserve">Square footage of permeable paver area: </t>
  </si>
  <si>
    <t>Bedding Course Depth (3/8" pea gravel or #8 stone):</t>
  </si>
  <si>
    <t>inches (minimum 2-3 inches or per manufacturer's instructions)</t>
  </si>
  <si>
    <t>Total Bedding Course Stone Volume Needed:</t>
  </si>
  <si>
    <t xml:space="preserve">Total Gravel Volume Needed: </t>
  </si>
  <si>
    <t>inches (minimum 6 inches)</t>
  </si>
  <si>
    <t>% (feet of rise / feet of run), maximum 5%</t>
  </si>
  <si>
    <t>inches/hour (minimum 0.5 inches/hour for paver systems)</t>
  </si>
  <si>
    <t>TREE RETENTION AND PLANTING CREDIT DETAILS</t>
  </si>
  <si>
    <t xml:space="preserve"> (ground level impervious areas only)</t>
  </si>
  <si>
    <t>BMP</t>
  </si>
  <si>
    <t>Tree Type</t>
  </si>
  <si>
    <t>Retained Tree</t>
  </si>
  <si>
    <t>Evergreen</t>
  </si>
  <si>
    <t>Deciduous</t>
  </si>
  <si>
    <t>Newly Planted Tree</t>
  </si>
  <si>
    <t>Impervious Area Credit</t>
  </si>
  <si>
    <r>
      <t>20% canopy area (min. 100 ft</t>
    </r>
    <r>
      <rPr>
        <vertAlign val="superscript"/>
        <sz val="10"/>
        <color theme="1"/>
        <rFont val="Garamond"/>
        <family val="1"/>
      </rPr>
      <t>2</t>
    </r>
    <r>
      <rPr>
        <sz val="10"/>
        <color theme="1"/>
        <rFont val="Garamond"/>
        <family val="1"/>
      </rPr>
      <t xml:space="preserve"> / tree)</t>
    </r>
  </si>
  <si>
    <r>
      <t>10% canopy area (min. 50 ft</t>
    </r>
    <r>
      <rPr>
        <vertAlign val="superscript"/>
        <sz val="10"/>
        <color theme="1"/>
        <rFont val="Garamond"/>
        <family val="1"/>
      </rPr>
      <t>2</t>
    </r>
    <r>
      <rPr>
        <sz val="10"/>
        <color theme="1"/>
        <rFont val="Garamond"/>
        <family val="1"/>
      </rPr>
      <t xml:space="preserve"> / tree)</t>
    </r>
  </si>
  <si>
    <r>
      <t>50 ft</t>
    </r>
    <r>
      <rPr>
        <vertAlign val="superscript"/>
        <sz val="10"/>
        <color theme="1"/>
        <rFont val="Garamond"/>
        <family val="1"/>
      </rPr>
      <t>2</t>
    </r>
    <r>
      <rPr>
        <sz val="10"/>
        <color theme="1"/>
        <rFont val="Garamond"/>
        <family val="1"/>
      </rPr>
      <t xml:space="preserve"> / tree</t>
    </r>
  </si>
  <si>
    <r>
      <t>20 ft</t>
    </r>
    <r>
      <rPr>
        <vertAlign val="superscript"/>
        <sz val="10"/>
        <color theme="1"/>
        <rFont val="Garamond"/>
        <family val="1"/>
      </rPr>
      <t>2</t>
    </r>
    <r>
      <rPr>
        <sz val="10"/>
        <color theme="1"/>
        <rFont val="Garamond"/>
        <family val="1"/>
      </rPr>
      <t xml:space="preserve"> / tree</t>
    </r>
  </si>
  <si>
    <t>square feet (maximum 10,000 square feet)</t>
  </si>
  <si>
    <t>trees</t>
  </si>
  <si>
    <t>Total impervious area reduction credit for retained evergreen trees:</t>
  </si>
  <si>
    <t>Number of evergreen trees to be retained:</t>
  </si>
  <si>
    <t>Total canopy area of evergreen trees to be retained:</t>
  </si>
  <si>
    <t>Number of deciduous trees to be retained:</t>
  </si>
  <si>
    <t>Total canopy area of deciduous trees to be retained:</t>
  </si>
  <si>
    <t>Number of new evergreen trees to be planted:</t>
  </si>
  <si>
    <t>Number of new deciduous trees to be planted:</t>
  </si>
  <si>
    <t>Total impervious area reduction credit for newly planted evergreen trees:</t>
  </si>
  <si>
    <t>Total impervious area reduction credit for newly planted deciduous trees:</t>
  </si>
  <si>
    <t>Total impervious area reduction credit for retained deciduous trees:</t>
  </si>
  <si>
    <t>Total tree credits (maximum 25% of impervious area needing treatment):</t>
  </si>
  <si>
    <t>Total volume of stormwater to be treated without tree credits:</t>
  </si>
  <si>
    <t>Remaining volume of stormwater to be treated WITH tree credits:</t>
  </si>
  <si>
    <t>trees (meeting min. size, 20 ft. or less from impervious)</t>
  </si>
  <si>
    <t>Total Pre-Project Impervious Surface Area (square ft.)</t>
  </si>
  <si>
    <t>Total Post-Project Impervious Surface Area (square ft.)</t>
  </si>
  <si>
    <t>BETA-001</t>
  </si>
  <si>
    <t>square feet (maximum 10,000 square feet per downspout)</t>
  </si>
  <si>
    <t>NOTE: THERE IS NO DESIGN TABLE FOR THIS PRACTICE.</t>
  </si>
  <si>
    <t>DRYWELL SIZING DETAILS</t>
  </si>
  <si>
    <t>Rooftop width:</t>
  </si>
  <si>
    <t>Rooftop length:</t>
  </si>
  <si>
    <t xml:space="preserve">feet </t>
  </si>
  <si>
    <t>Gravel Jacket Depth (inches)</t>
  </si>
  <si>
    <t>Tank Height (inches)</t>
  </si>
  <si>
    <t>Tank Inside Diameter (inches)</t>
  </si>
  <si>
    <t>Contributing Rooftop Area Captured (square feet)</t>
  </si>
  <si>
    <t>Hole Depth (inches)</t>
  </si>
  <si>
    <t>6-inch Perforated Standpipe
Gravel Filled Hole Diameter (inches)</t>
  </si>
  <si>
    <t>Soil infiltration rate:</t>
  </si>
  <si>
    <t>Manufactured Tank and Gravel Jacket Option:</t>
  </si>
  <si>
    <t>inches (24 inch minimum, 48 inch maximum)</t>
  </si>
  <si>
    <t>inches (30 inch minimum, 48 inch maximum)</t>
  </si>
  <si>
    <t>Tank inside diameter:</t>
  </si>
  <si>
    <t>Tank inside depth:</t>
  </si>
  <si>
    <t>Gravel jacket depth:</t>
  </si>
  <si>
    <t>Total number of drywells:</t>
  </si>
  <si>
    <t>Gravel Filled Hole with 6" Perforated Pipe Option:</t>
  </si>
  <si>
    <t>Gravel filled hole diameter:</t>
  </si>
  <si>
    <t>Gravel filled hole depth:</t>
  </si>
  <si>
    <t>Volume of stormwater treated using manufactured tank drywell(s):</t>
  </si>
  <si>
    <t>Total aggregate volume needed:</t>
  </si>
  <si>
    <t>Volume of stormwater treated using gravel filled hole drywell(s):</t>
  </si>
  <si>
    <t>Total volume of stormwater to be treated:</t>
  </si>
  <si>
    <t>square feet (max. 10,000 sq. ft. impervious per bioretention area)</t>
  </si>
  <si>
    <t>DESIGN TABLE (ASSUMES 6 INCHES OF PONDING AND 0.5 INCHES/HOUR INFILTRATION RATE)</t>
  </si>
  <si>
    <t>Total impervious surface area 
(square feet)</t>
  </si>
  <si>
    <t>VEGETATED SWALE SIZING DETAILS</t>
  </si>
  <si>
    <t>Veg. Swale Filter Bed Surface Area (square feet)</t>
  </si>
  <si>
    <t>Depth of Vegetated Swale Soil Mix (inches)</t>
  </si>
  <si>
    <t>Depth of vegetated swale soil mix:</t>
  </si>
  <si>
    <t>Required Vegetated Swale Bottom Area (not counting sides, berms, etc.):</t>
  </si>
  <si>
    <t>[Check one or more, include sizing detail sheets for each practice selected]</t>
  </si>
  <si>
    <t>INSTRUCTIONS</t>
  </si>
  <si>
    <t>The Vermont League of Cities and Towns (VLCT), in partnership with the Vermont Department of Environmental Conservation, Ecosystem Restoration Program (ERP), has updated the Vermont Model Low Impact Development Stormwater Management Bylaw, which was released in 2008. As part of the update, this sizing tool and related guidance was created with the goal of making stormwater management more accessible to small and moderately-sized towns seeking to manage stormwater from development and re-development projects that fall below the permitting thresholds for State stormwater permitting, often referred to as “sub-jurisdictional”.</t>
  </si>
  <si>
    <t>This tool can be utilized to size, and aid in the review of, green stormwater infrastructure (GSI) best management practices (BMPs) for small projects – projects creating up to ½-acre of impervious surface. The sizing criteria for BMPs included in the sizing spreadsheet are calibrated to meet the draft Water Quality Treatment Standard, which will require treatment of the “first inch” of runoff from proposed impervious surfaces.</t>
  </si>
  <si>
    <t>As part of a zoning or building permit application, applicants should develop a site plan following the guidelines appropriate for the town. Normal site plan items relevant to stormwater management include:
■ Existing and proposed ground contours and elevations;
■ Locations of existing sanitary and storm sewers (if any), on-site wells and septic systems (if any), structures, 
   and easements;
■ Location, configuration, and finished floor elevations for existing and proposed structures;
■ Location, configuration, and finished elevations for existing and proposed paved areas;
■ Erosion and sediment control practices as included in The Low Risk Site Handbook for Erosion Prevention
   and Sediment Control or other appropriate guidance; and 
For stormwater management, the following guidance applies to all designs:
■ Stormwater runoff from the first one inch of rainfall on any impervious surface must be captured on site 
   and dissipated through the use of infiltration, evapotranspiration, or alternate use (such as irrigation). It cannot
   run off the site.
■ Details of all Green Stormwater Infrastructure practices should be attached to the site plan. Wherever 
   possible, use the specification sheets from this guidance document, or sets of plans of equal detail and 
   coverage.</t>
  </si>
  <si>
    <t>The Post-Construction Soil Depth and Quality requirements must be met for any areas that are disturbed during a development or re-development project under the Model LID/GSI Bylaw. The remaining GSI practices represent a menu of possible options--any or all of which can be applied to an individual site where the conditions are appropriate. Applicants must treat the runoff from proposed impervious cover, but this tool is intended to provide a wide and flexible range of possibilities for implementation.</t>
  </si>
  <si>
    <t xml:space="preserve">On the site plan, use a consistent naming convention for impervious areas contributing runoff to a GSI practice, and the practice used to capture that runoff. For instance, "Area 1" might contain a structure and the cistern used to store runoff from the roof, or "Area A" might contain a driveway and the vegetated swale used to capture and infiltrate runoff from the driveway. The accompanying standard specification sheet, and sizing details from this spreadsheet, can then be easily attached to the application. Individual site areas and GSI practices may be sketched either on a single site plan, or using the tear-off specification sheets included in the guidance. </t>
  </si>
  <si>
    <t>On each of the sheets in this sizing tool, fields marked in blue are intended to be filled in by the applicant and are editable. Fields marked in green show calculation results and cannot be edited.</t>
  </si>
  <si>
    <t>Total Area Treated Using Selected Practices (sq. ft.)</t>
  </si>
  <si>
    <t xml:space="preserve">Impervious area treated using tree credits: </t>
  </si>
  <si>
    <t>square feet (maximum 25% of impervious area, enter from "Tree Retention and Planting" sheet)</t>
  </si>
  <si>
    <t>DESIGN TABLE (assuming a trench width of 24 inches and a soil infiltration rate of 0.5 inches/hour):</t>
  </si>
  <si>
    <t>Depth of Gravel in Trench (inches)</t>
  </si>
  <si>
    <t>Required Linear Feet of Trench (feet)</t>
  </si>
  <si>
    <t>TREE CREDIT CALCULATION RESULTS:</t>
  </si>
  <si>
    <t>Bioretention Filter Bed Surface Area (sq. ft.)</t>
  </si>
  <si>
    <t>square feet (max. 10,000 sq. ft. impervious per swale area)</t>
  </si>
  <si>
    <t>Reservoir Course Gravel Depth (1/2" to 1 1/2" clean aggregate):</t>
  </si>
  <si>
    <t>square feet (maximum 10,000 sq. ft. per permeable paver area)</t>
  </si>
  <si>
    <r>
      <t xml:space="preserve">Total Redeveloped or Replaced Impervious Surface Area (square feet)
</t>
    </r>
    <r>
      <rPr>
        <sz val="10"/>
        <color indexed="8"/>
        <rFont val="Garamond"/>
        <family val="1"/>
      </rPr>
      <t>[Sum of currently impervious areas that will be covered with new impervious surfaces.]</t>
    </r>
  </si>
  <si>
    <t>[Enter the total surface area treated using each selected practice on the lines below]</t>
  </si>
  <si>
    <t xml:space="preserve">Total Impervious Area Treated Using Tree Credits - 
Transfer this number to Sheet #1, Project Information: </t>
  </si>
  <si>
    <t xml:space="preserve">Total Impervious Area Treated Using Cisterns and Rain Barrels - 
Transfer this number to Sheet #1, Project Information: </t>
  </si>
  <si>
    <t xml:space="preserve">Total Impervious Area Treated Using Rooftop Disconnection - 
Transfer this number to Sheet #1, Project Information: </t>
  </si>
  <si>
    <t xml:space="preserve">Total Impervious Area Treated Using Non-Rooftop Disconnection to Filter Strip - Transfer this number to Sheet #1, Project Information: </t>
  </si>
  <si>
    <t xml:space="preserve">Remaining impervious area to be treated: </t>
  </si>
  <si>
    <t>NOTE: Required filter strip length is proportionately reduced when tree credits are used in combination with non-rooftop disconnection.</t>
  </si>
  <si>
    <t>Required Filter Strip Length, No Tree Credits (down-slope):</t>
  </si>
  <si>
    <t>Required Filter Strip Length With Tree Credits (down-slope):</t>
  </si>
  <si>
    <t xml:space="preserve">Total Impervious Area Treated Using Infiltration Trenches - Transfer this number to Sheet #1, Project Information: </t>
  </si>
  <si>
    <t>NOTE: Required bioretention bottom area  is proportionately reduced when tree credits are used in combination with bioretention.</t>
  </si>
  <si>
    <t xml:space="preserve">Total Impervious Area Treated Using Bioretention and Rain Gardens - Transfer this number to Sheet #1, Project Information: </t>
  </si>
  <si>
    <t>NOTE: Required vegetated swale bottom area is proportionately reduced when tree credits are used in combination with swales.</t>
  </si>
  <si>
    <t>Vegetated swale bottom width:</t>
  </si>
  <si>
    <t>feet (min. 2 feet, max. 8 feet)</t>
  </si>
  <si>
    <t>Required Vegetated Swale Length:</t>
  </si>
  <si>
    <t xml:space="preserve">Total Impervious Area Treated Using Vegetated Swales - 
Transfer this number to Sheet #1, Project Information: </t>
  </si>
  <si>
    <t xml:space="preserve">Total Impervious Area Treated Using Permeable Pavers - 
Transfer this number to Sheet #1, Project Information: </t>
  </si>
  <si>
    <t>inches (min.2-3 in. or per manufacturer)</t>
  </si>
  <si>
    <t xml:space="preserve">A 6-inch gravel reservoir course provides storage for 2.5 inches of rainfall, or roughly the two-year storm across VT. </t>
  </si>
  <si>
    <t xml:space="preserve">Total Impervious Area Treated Using Drywells - 
Transfer this number to Sheet #1, Project Information: </t>
  </si>
  <si>
    <t>Impervious area treated using manufactured tank drywell(s):</t>
  </si>
  <si>
    <t>Impervious area treated using gravel filled hole drywell(s):</t>
  </si>
  <si>
    <t>inches/hour (minimum 0.5 inches/hour)</t>
  </si>
  <si>
    <t xml:space="preserve">Total Site Area Treated Using the Post-Construction Soil Depth and Quality Requirements - Transfer this number to Sheet #1, Project Information: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</si>
</sst>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6" x14ac:knownFonts="1">
    <font>
      <sz val="11"/>
      <color theme="1"/>
      <name val="Calibri"/>
      <family val="2"/>
      <scheme val="minor"/>
    </font>
    <font>
      <sz val="11"/>
      <color theme="1"/>
      <name val="Garamond"/>
      <family val="1"/>
    </font>
    <font>
      <sz val="10"/>
      <color theme="1"/>
      <name val="Garamond"/>
      <family val="1"/>
    </font>
    <font>
      <u/>
      <sz val="10"/>
      <color theme="1"/>
      <name val="Garamond"/>
      <family val="1"/>
    </font>
    <font>
      <sz val="10"/>
      <color theme="1"/>
      <name val="Calibri"/>
      <family val="2"/>
      <scheme val="minor"/>
    </font>
    <font>
      <b/>
      <sz val="10"/>
      <color theme="1"/>
      <name val="Garamond"/>
      <family val="1"/>
    </font>
    <font>
      <b/>
      <sz val="10.5"/>
      <color theme="1"/>
      <name val="Garamond"/>
      <family val="1"/>
    </font>
    <font>
      <sz val="10"/>
      <name val="Garamond"/>
      <family val="1"/>
    </font>
    <font>
      <b/>
      <sz val="10"/>
      <color indexed="8"/>
      <name val="Garamond"/>
      <family val="1"/>
    </font>
    <font>
      <sz val="10"/>
      <color indexed="8"/>
      <name val="Garamond"/>
      <family val="1"/>
    </font>
    <font>
      <b/>
      <sz val="9"/>
      <color rgb="FF000000"/>
      <name val="Garamond"/>
      <family val="1"/>
    </font>
    <font>
      <sz val="8"/>
      <color rgb="FF000000"/>
      <name val="Garamond"/>
      <family val="1"/>
    </font>
    <font>
      <b/>
      <sz val="11"/>
      <color theme="1"/>
      <name val="Garamond"/>
      <family val="1"/>
    </font>
    <font>
      <vertAlign val="superscript"/>
      <sz val="10"/>
      <color theme="1"/>
      <name val="Garamond"/>
      <family val="1"/>
    </font>
    <font>
      <sz val="9"/>
      <color theme="1"/>
      <name val="Garamond"/>
      <family val="1"/>
    </font>
    <font>
      <b/>
      <sz val="9"/>
      <color theme="1"/>
      <name val="Garamond"/>
      <family val="1"/>
    </font>
  </fonts>
  <fills count="6">
    <fill>
      <patternFill patternType="none"/>
    </fill>
    <fill>
      <patternFill patternType="gray125"/>
    </fill>
    <fill>
      <patternFill patternType="solid">
        <fgColor theme="3"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theme="8" tint="0.79998168889431442"/>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225">
    <xf numFmtId="0" fontId="0" fillId="0" borderId="0" xfId="0"/>
    <xf numFmtId="0" fontId="1" fillId="0" borderId="0" xfId="0" applyFont="1"/>
    <xf numFmtId="0" fontId="2" fillId="0" borderId="0" xfId="0" applyFont="1"/>
    <xf numFmtId="0" fontId="5" fillId="0" borderId="9" xfId="0" applyFont="1" applyBorder="1"/>
    <xf numFmtId="0" fontId="2" fillId="0" borderId="2" xfId="0" applyFont="1" applyBorder="1"/>
    <xf numFmtId="0" fontId="2" fillId="0" borderId="10" xfId="0" applyFont="1" applyBorder="1"/>
    <xf numFmtId="0" fontId="5" fillId="0" borderId="4" xfId="0" applyFont="1" applyBorder="1"/>
    <xf numFmtId="0" fontId="5" fillId="0" borderId="5" xfId="0" applyFont="1" applyBorder="1"/>
    <xf numFmtId="0" fontId="2" fillId="0" borderId="5" xfId="0" applyFont="1" applyBorder="1"/>
    <xf numFmtId="0" fontId="2" fillId="0" borderId="6" xfId="0" applyFont="1" applyBorder="1"/>
    <xf numFmtId="0" fontId="2" fillId="0" borderId="7" xfId="0" applyFont="1" applyBorder="1"/>
    <xf numFmtId="0" fontId="2" fillId="0" borderId="1" xfId="0" applyFont="1" applyBorder="1"/>
    <xf numFmtId="0" fontId="5" fillId="0" borderId="2" xfId="0" applyFont="1" applyBorder="1"/>
    <xf numFmtId="0" fontId="2" fillId="0" borderId="4" xfId="0" applyFont="1" applyBorder="1"/>
    <xf numFmtId="0" fontId="2" fillId="0" borderId="8" xfId="0" applyFont="1" applyBorder="1"/>
    <xf numFmtId="0" fontId="2" fillId="0" borderId="0" xfId="0" applyFont="1" applyBorder="1"/>
    <xf numFmtId="0" fontId="2" fillId="0" borderId="12" xfId="0" applyFont="1" applyBorder="1"/>
    <xf numFmtId="164" fontId="2" fillId="3" borderId="1" xfId="0" applyNumberFormat="1" applyFont="1" applyFill="1" applyBorder="1"/>
    <xf numFmtId="0" fontId="2" fillId="0" borderId="3" xfId="0" applyFont="1" applyBorder="1"/>
    <xf numFmtId="0" fontId="5" fillId="0" borderId="3" xfId="0" applyFont="1" applyBorder="1"/>
    <xf numFmtId="0" fontId="5" fillId="0" borderId="13" xfId="0" applyFont="1" applyBorder="1"/>
    <xf numFmtId="0" fontId="5" fillId="0" borderId="0" xfId="0" applyFont="1" applyBorder="1"/>
    <xf numFmtId="0" fontId="1" fillId="0" borderId="0" xfId="0" applyFont="1" applyBorder="1"/>
    <xf numFmtId="0" fontId="5" fillId="0" borderId="1" xfId="0" applyFont="1" applyBorder="1"/>
    <xf numFmtId="0" fontId="2" fillId="3" borderId="0" xfId="0" applyFont="1" applyFill="1" applyBorder="1"/>
    <xf numFmtId="0" fontId="5" fillId="0" borderId="7" xfId="0" applyFont="1" applyBorder="1"/>
    <xf numFmtId="3" fontId="2" fillId="3" borderId="2" xfId="0" applyNumberFormat="1" applyFont="1" applyFill="1" applyBorder="1"/>
    <xf numFmtId="0" fontId="1" fillId="0" borderId="5" xfId="0" applyFont="1" applyBorder="1"/>
    <xf numFmtId="0" fontId="1" fillId="0" borderId="6" xfId="0" applyFont="1" applyBorder="1"/>
    <xf numFmtId="1" fontId="2" fillId="3" borderId="0" xfId="0" applyNumberFormat="1" applyFont="1" applyFill="1" applyBorder="1"/>
    <xf numFmtId="0" fontId="1" fillId="0" borderId="1" xfId="0" applyFont="1" applyBorder="1"/>
    <xf numFmtId="1" fontId="2" fillId="0" borderId="0" xfId="0" applyNumberFormat="1" applyFont="1"/>
    <xf numFmtId="164" fontId="2" fillId="0" borderId="0" xfId="0" applyNumberFormat="1" applyFont="1"/>
    <xf numFmtId="0" fontId="5" fillId="0" borderId="0" xfId="0" applyFont="1"/>
    <xf numFmtId="2" fontId="2" fillId="0" borderId="0" xfId="0" applyNumberFormat="1" applyFont="1"/>
    <xf numFmtId="164" fontId="2" fillId="3" borderId="0" xfId="0" applyNumberFormat="1" applyFont="1" applyFill="1" applyBorder="1"/>
    <xf numFmtId="1" fontId="2" fillId="0" borderId="0" xfId="0" applyNumberFormat="1" applyFont="1" applyBorder="1"/>
    <xf numFmtId="1" fontId="2" fillId="3" borderId="1" xfId="0" applyNumberFormat="1" applyFont="1" applyFill="1" applyBorder="1"/>
    <xf numFmtId="0" fontId="5" fillId="0" borderId="13" xfId="0" applyFont="1" applyBorder="1" applyAlignment="1">
      <alignment vertical="top"/>
    </xf>
    <xf numFmtId="0" fontId="1" fillId="0" borderId="8" xfId="0" applyFont="1" applyBorder="1"/>
    <xf numFmtId="0" fontId="2" fillId="0" borderId="0" xfId="0" applyFont="1" applyFill="1" applyBorder="1"/>
    <xf numFmtId="0" fontId="1" fillId="0" borderId="10" xfId="0" applyFont="1" applyBorder="1"/>
    <xf numFmtId="0" fontId="2" fillId="0" borderId="9" xfId="0" applyFont="1" applyBorder="1"/>
    <xf numFmtId="0" fontId="12" fillId="0" borderId="8" xfId="0" applyFont="1" applyBorder="1"/>
    <xf numFmtId="0" fontId="5" fillId="0" borderId="16" xfId="0" applyFont="1" applyBorder="1"/>
    <xf numFmtId="0" fontId="14" fillId="0" borderId="5" xfId="0" applyFont="1" applyBorder="1"/>
    <xf numFmtId="0" fontId="14" fillId="0" borderId="0" xfId="0" applyFont="1" applyBorder="1"/>
    <xf numFmtId="0" fontId="14" fillId="0" borderId="1" xfId="0" applyFont="1" applyBorder="1"/>
    <xf numFmtId="0" fontId="1" fillId="0" borderId="12" xfId="0" applyFont="1" applyBorder="1"/>
    <xf numFmtId="0" fontId="8" fillId="4" borderId="0" xfId="0" applyFont="1" applyFill="1" applyBorder="1" applyAlignment="1">
      <alignment horizontal="left" vertical="top" wrapText="1"/>
    </xf>
    <xf numFmtId="0" fontId="8" fillId="4" borderId="0" xfId="0" applyFont="1" applyFill="1" applyBorder="1" applyAlignment="1">
      <alignment horizontal="left" vertical="top"/>
    </xf>
    <xf numFmtId="0" fontId="5" fillId="0" borderId="3" xfId="0" applyFont="1" applyBorder="1" applyAlignment="1">
      <alignment horizontal="center"/>
    </xf>
    <xf numFmtId="0" fontId="1" fillId="0" borderId="2" xfId="0" applyFont="1" applyBorder="1"/>
    <xf numFmtId="1" fontId="2" fillId="0" borderId="3" xfId="0" applyNumberFormat="1" applyFont="1" applyBorder="1" applyAlignment="1">
      <alignment horizontal="center"/>
    </xf>
    <xf numFmtId="1" fontId="2" fillId="0" borderId="0" xfId="0" applyNumberFormat="1" applyFont="1" applyFill="1" applyBorder="1"/>
    <xf numFmtId="164" fontId="2" fillId="0" borderId="3" xfId="0" applyNumberFormat="1" applyFont="1" applyBorder="1" applyAlignment="1">
      <alignment horizontal="center"/>
    </xf>
    <xf numFmtId="1" fontId="2" fillId="0" borderId="3" xfId="0" applyNumberFormat="1" applyFont="1" applyBorder="1"/>
    <xf numFmtId="0" fontId="12" fillId="0" borderId="0" xfId="0" applyFont="1"/>
    <xf numFmtId="0" fontId="2" fillId="3" borderId="1" xfId="0" applyFont="1" applyFill="1" applyBorder="1"/>
    <xf numFmtId="0" fontId="7" fillId="3" borderId="0" xfId="0" applyFont="1" applyFill="1" applyBorder="1" applyAlignment="1">
      <alignment horizontal="left" vertical="top" wrapText="1"/>
    </xf>
    <xf numFmtId="14" fontId="7" fillId="3" borderId="0" xfId="0" applyNumberFormat="1" applyFont="1" applyFill="1" applyBorder="1" applyAlignment="1">
      <alignment horizontal="left" vertical="top" wrapText="1"/>
    </xf>
    <xf numFmtId="0" fontId="12" fillId="0" borderId="2" xfId="0" applyFont="1" applyBorder="1"/>
    <xf numFmtId="0" fontId="12" fillId="3" borderId="2" xfId="0" applyFont="1" applyFill="1" applyBorder="1"/>
    <xf numFmtId="3" fontId="12" fillId="3" borderId="2" xfId="0" applyNumberFormat="1" applyFont="1" applyFill="1" applyBorder="1"/>
    <xf numFmtId="0" fontId="15" fillId="0" borderId="13" xfId="0" applyFont="1" applyBorder="1"/>
    <xf numFmtId="0" fontId="2" fillId="0" borderId="5" xfId="0" applyFont="1" applyBorder="1" applyAlignment="1">
      <alignment horizontal="left" wrapText="1"/>
    </xf>
    <xf numFmtId="0" fontId="2" fillId="0" borderId="6" xfId="0" applyFont="1" applyBorder="1" applyAlignment="1">
      <alignment horizontal="left" wrapText="1"/>
    </xf>
    <xf numFmtId="0" fontId="14" fillId="0" borderId="13" xfId="0" applyFont="1" applyBorder="1"/>
    <xf numFmtId="0" fontId="15" fillId="0" borderId="7" xfId="0" applyFont="1" applyBorder="1"/>
    <xf numFmtId="0" fontId="7" fillId="5" borderId="3" xfId="0" applyFont="1" applyFill="1" applyBorder="1" applyAlignment="1" applyProtection="1">
      <alignment vertical="top" wrapText="1"/>
      <protection locked="0"/>
    </xf>
    <xf numFmtId="14" fontId="7" fillId="5" borderId="10" xfId="0" applyNumberFormat="1" applyFont="1" applyFill="1" applyBorder="1" applyAlignment="1" applyProtection="1">
      <alignment horizontal="left" vertical="top" wrapText="1"/>
      <protection locked="0"/>
    </xf>
    <xf numFmtId="0" fontId="7" fillId="5" borderId="10" xfId="0" applyFont="1" applyFill="1" applyBorder="1" applyAlignment="1" applyProtection="1">
      <alignment vertical="top" wrapText="1"/>
      <protection locked="0"/>
    </xf>
    <xf numFmtId="0" fontId="9" fillId="5" borderId="8" xfId="0" applyFont="1" applyFill="1" applyBorder="1" applyAlignment="1" applyProtection="1">
      <alignment horizontal="left" vertical="top" wrapText="1"/>
      <protection locked="0"/>
    </xf>
    <xf numFmtId="0" fontId="2" fillId="5" borderId="10" xfId="0" applyFont="1" applyFill="1" applyBorder="1" applyProtection="1">
      <protection locked="0"/>
    </xf>
    <xf numFmtId="0" fontId="2" fillId="5" borderId="3" xfId="0" applyFont="1" applyFill="1" applyBorder="1" applyProtection="1">
      <protection locked="0"/>
    </xf>
    <xf numFmtId="3" fontId="2" fillId="5" borderId="3" xfId="0" applyNumberFormat="1" applyFont="1" applyFill="1" applyBorder="1" applyAlignment="1" applyProtection="1">
      <alignment horizontal="center"/>
      <protection locked="0"/>
    </xf>
    <xf numFmtId="0" fontId="2" fillId="0" borderId="0" xfId="0" applyFont="1" applyProtection="1"/>
    <xf numFmtId="0" fontId="8" fillId="4" borderId="9" xfId="0" applyFont="1" applyFill="1" applyBorder="1" applyAlignment="1" applyProtection="1">
      <alignment horizontal="left" vertical="top" wrapText="1"/>
    </xf>
    <xf numFmtId="0" fontId="2" fillId="0" borderId="10" xfId="0" applyFont="1" applyBorder="1" applyProtection="1"/>
    <xf numFmtId="0" fontId="8" fillId="0" borderId="9" xfId="0" applyFont="1" applyFill="1" applyBorder="1" applyAlignment="1" applyProtection="1">
      <alignment horizontal="left" vertical="top" wrapText="1"/>
    </xf>
    <xf numFmtId="0" fontId="7" fillId="0" borderId="10" xfId="0" applyFont="1" applyFill="1" applyBorder="1" applyAlignment="1" applyProtection="1">
      <alignment vertical="top" wrapText="1"/>
    </xf>
    <xf numFmtId="0" fontId="8" fillId="4" borderId="4" xfId="0" applyFont="1" applyFill="1" applyBorder="1" applyAlignment="1" applyProtection="1">
      <alignment horizontal="left" vertical="top" wrapText="1"/>
    </xf>
    <xf numFmtId="0" fontId="5" fillId="0" borderId="14" xfId="0" applyFont="1" applyBorder="1" applyProtection="1"/>
    <xf numFmtId="0" fontId="2" fillId="0" borderId="16" xfId="0" applyFont="1" applyBorder="1" applyProtection="1"/>
    <xf numFmtId="3" fontId="2" fillId="0" borderId="0" xfId="0" applyNumberFormat="1" applyFont="1" applyProtection="1"/>
    <xf numFmtId="0" fontId="2" fillId="0" borderId="3" xfId="0" applyFont="1" applyBorder="1" applyProtection="1"/>
    <xf numFmtId="0" fontId="5" fillId="0" borderId="3" xfId="0" applyFont="1" applyBorder="1" applyProtection="1"/>
    <xf numFmtId="0" fontId="2" fillId="2" borderId="2" xfId="0" applyFont="1" applyFill="1" applyBorder="1" applyProtection="1">
      <protection locked="0"/>
    </xf>
    <xf numFmtId="3" fontId="2" fillId="2" borderId="2" xfId="0" applyNumberFormat="1" applyFont="1" applyFill="1" applyBorder="1" applyProtection="1">
      <protection locked="0"/>
    </xf>
    <xf numFmtId="0" fontId="2" fillId="2" borderId="7" xfId="0" applyFont="1" applyFill="1" applyBorder="1" applyProtection="1">
      <protection locked="0"/>
    </xf>
    <xf numFmtId="0" fontId="2" fillId="2" borderId="9" xfId="0" applyFont="1" applyFill="1" applyBorder="1" applyProtection="1">
      <protection locked="0"/>
    </xf>
    <xf numFmtId="0" fontId="2" fillId="2" borderId="1" xfId="0" applyFont="1" applyFill="1" applyBorder="1" applyProtection="1">
      <protection locked="0"/>
    </xf>
    <xf numFmtId="0" fontId="4" fillId="0" borderId="0" xfId="0" applyFont="1" applyProtection="1"/>
    <xf numFmtId="0" fontId="5" fillId="0" borderId="9" xfId="0" applyFont="1" applyBorder="1" applyProtection="1"/>
    <xf numFmtId="0" fontId="2" fillId="0" borderId="2" xfId="0" applyFont="1" applyFill="1" applyBorder="1" applyAlignment="1" applyProtection="1"/>
    <xf numFmtId="0" fontId="2" fillId="0" borderId="2" xfId="0" applyFont="1" applyBorder="1" applyProtection="1"/>
    <xf numFmtId="0" fontId="5" fillId="0" borderId="4" xfId="0" applyFont="1" applyBorder="1" applyProtection="1"/>
    <xf numFmtId="0" fontId="5" fillId="0" borderId="5" xfId="0" applyFont="1" applyBorder="1" applyProtection="1"/>
    <xf numFmtId="0" fontId="2" fillId="0" borderId="5" xfId="0" applyFont="1" applyBorder="1" applyProtection="1"/>
    <xf numFmtId="0" fontId="2" fillId="0" borderId="6" xfId="0" applyFont="1" applyBorder="1" applyProtection="1"/>
    <xf numFmtId="0" fontId="2" fillId="0" borderId="7" xfId="0" applyFont="1" applyBorder="1" applyProtection="1"/>
    <xf numFmtId="0" fontId="2" fillId="0" borderId="1" xfId="0" applyFont="1" applyBorder="1" applyProtection="1"/>
    <xf numFmtId="0" fontId="5" fillId="0" borderId="2" xfId="0" applyFont="1" applyBorder="1" applyProtection="1"/>
    <xf numFmtId="0" fontId="2" fillId="0" borderId="4" xfId="0" applyFont="1" applyBorder="1" applyProtection="1"/>
    <xf numFmtId="0" fontId="2" fillId="0" borderId="11" xfId="0" applyFont="1" applyBorder="1" applyProtection="1"/>
    <xf numFmtId="0" fontId="4" fillId="0" borderId="8" xfId="0" applyFont="1" applyBorder="1" applyProtection="1"/>
    <xf numFmtId="0" fontId="2" fillId="0" borderId="8" xfId="0" applyFont="1" applyBorder="1" applyProtection="1"/>
    <xf numFmtId="0" fontId="4" fillId="0" borderId="6" xfId="0" applyFont="1" applyBorder="1" applyProtection="1"/>
    <xf numFmtId="0" fontId="2" fillId="0" borderId="0" xfId="0" applyFont="1" applyBorder="1" applyProtection="1"/>
    <xf numFmtId="0" fontId="4" fillId="0" borderId="12" xfId="0" applyFont="1" applyBorder="1" applyProtection="1"/>
    <xf numFmtId="0" fontId="2" fillId="0" borderId="13" xfId="0" applyFont="1" applyBorder="1" applyProtection="1"/>
    <xf numFmtId="0" fontId="2" fillId="0" borderId="0" xfId="0" quotePrefix="1" applyFont="1" applyBorder="1" applyProtection="1"/>
    <xf numFmtId="0" fontId="2" fillId="0" borderId="12" xfId="0" applyFont="1" applyBorder="1" applyProtection="1"/>
    <xf numFmtId="0" fontId="2" fillId="3" borderId="13" xfId="0" applyFont="1" applyFill="1" applyBorder="1" applyProtection="1"/>
    <xf numFmtId="0" fontId="2" fillId="0" borderId="8" xfId="0" applyFont="1" applyBorder="1" applyAlignment="1" applyProtection="1">
      <alignment vertical="top"/>
    </xf>
    <xf numFmtId="164" fontId="2" fillId="3" borderId="7" xfId="0" applyNumberFormat="1" applyFont="1" applyFill="1" applyBorder="1" applyAlignment="1" applyProtection="1">
      <alignment vertical="top"/>
    </xf>
    <xf numFmtId="164" fontId="2" fillId="3" borderId="1" xfId="0" applyNumberFormat="1" applyFont="1" applyFill="1" applyBorder="1" applyProtection="1"/>
    <xf numFmtId="0" fontId="2" fillId="3" borderId="7" xfId="0" applyFont="1" applyFill="1" applyBorder="1" applyProtection="1"/>
    <xf numFmtId="0" fontId="2" fillId="0" borderId="1" xfId="0" quotePrefix="1" applyFont="1" applyBorder="1" applyProtection="1"/>
    <xf numFmtId="3" fontId="12" fillId="3" borderId="2" xfId="0" applyNumberFormat="1" applyFont="1" applyFill="1" applyBorder="1" applyProtection="1"/>
    <xf numFmtId="0" fontId="12" fillId="0" borderId="2" xfId="0" applyFont="1" applyBorder="1" applyProtection="1"/>
    <xf numFmtId="0" fontId="1" fillId="0" borderId="10" xfId="0" applyFont="1" applyBorder="1" applyProtection="1"/>
    <xf numFmtId="3" fontId="2" fillId="0" borderId="0" xfId="0" applyNumberFormat="1" applyFont="1" applyFill="1" applyBorder="1"/>
    <xf numFmtId="3" fontId="2" fillId="2" borderId="5" xfId="0" applyNumberFormat="1" applyFont="1" applyFill="1" applyBorder="1" applyProtection="1">
      <protection locked="0"/>
    </xf>
    <xf numFmtId="3" fontId="2" fillId="2" borderId="0" xfId="0" applyNumberFormat="1" applyFont="1" applyFill="1" applyBorder="1" applyProtection="1">
      <protection locked="0"/>
    </xf>
    <xf numFmtId="0" fontId="1" fillId="0" borderId="0" xfId="0" applyFont="1" applyProtection="1"/>
    <xf numFmtId="0" fontId="6" fillId="0" borderId="0" xfId="0" applyFont="1" applyAlignment="1" applyProtection="1"/>
    <xf numFmtId="0" fontId="1" fillId="0" borderId="0" xfId="0" applyFont="1" applyBorder="1" applyProtection="1"/>
    <xf numFmtId="3" fontId="2" fillId="2" borderId="2" xfId="0" applyNumberFormat="1" applyFont="1" applyFill="1" applyBorder="1" applyProtection="1"/>
    <xf numFmtId="0" fontId="5" fillId="0" borderId="13" xfId="0" applyFont="1" applyBorder="1" applyProtection="1"/>
    <xf numFmtId="0" fontId="5" fillId="0" borderId="0" xfId="0" applyFont="1" applyBorder="1" applyProtection="1"/>
    <xf numFmtId="0" fontId="1" fillId="0" borderId="13" xfId="0" applyFont="1" applyBorder="1" applyProtection="1"/>
    <xf numFmtId="0" fontId="5" fillId="0" borderId="0" xfId="0" applyFont="1" applyBorder="1" applyAlignment="1" applyProtection="1">
      <alignment horizontal="right"/>
    </xf>
    <xf numFmtId="3" fontId="2" fillId="3" borderId="0" xfId="0" applyNumberFormat="1" applyFont="1" applyFill="1" applyBorder="1" applyProtection="1"/>
    <xf numFmtId="0" fontId="1" fillId="0" borderId="7" xfId="0" applyFont="1" applyBorder="1" applyProtection="1"/>
    <xf numFmtId="0" fontId="5" fillId="0" borderId="1" xfId="0" applyFont="1" applyBorder="1" applyProtection="1"/>
    <xf numFmtId="0" fontId="5" fillId="0" borderId="1" xfId="0" applyFont="1" applyBorder="1" applyAlignment="1" applyProtection="1">
      <alignment horizontal="right"/>
    </xf>
    <xf numFmtId="3" fontId="2" fillId="3" borderId="1" xfId="0" applyNumberFormat="1" applyFont="1" applyFill="1" applyBorder="1" applyProtection="1"/>
    <xf numFmtId="165" fontId="2" fillId="2" borderId="2" xfId="0" applyNumberFormat="1" applyFont="1" applyFill="1" applyBorder="1" applyProtection="1">
      <protection locked="0"/>
    </xf>
    <xf numFmtId="0" fontId="10" fillId="0" borderId="13" xfId="0" applyFont="1" applyBorder="1" applyAlignment="1" applyProtection="1">
      <alignment vertical="center" wrapText="1"/>
    </xf>
    <xf numFmtId="0" fontId="10" fillId="0" borderId="3" xfId="0" applyFont="1" applyBorder="1" applyAlignment="1" applyProtection="1">
      <alignment horizontal="center" vertical="center" wrapText="1"/>
    </xf>
    <xf numFmtId="0" fontId="11" fillId="0" borderId="3" xfId="0" applyFont="1" applyBorder="1" applyAlignment="1" applyProtection="1">
      <alignment horizontal="center" vertical="center" wrapText="1"/>
    </xf>
    <xf numFmtId="0" fontId="1" fillId="0" borderId="6" xfId="0" applyFont="1" applyBorder="1" applyProtection="1"/>
    <xf numFmtId="0" fontId="2" fillId="3" borderId="0" xfId="0" applyFont="1" applyFill="1" applyBorder="1" applyProtection="1"/>
    <xf numFmtId="0" fontId="1" fillId="0" borderId="12" xfId="0" applyFont="1" applyBorder="1" applyProtection="1"/>
    <xf numFmtId="0" fontId="2" fillId="3" borderId="0" xfId="0" applyFont="1" applyFill="1" applyBorder="1" applyAlignment="1" applyProtection="1">
      <alignment horizontal="right"/>
    </xf>
    <xf numFmtId="0" fontId="5" fillId="0" borderId="7" xfId="0" applyFont="1" applyBorder="1" applyProtection="1"/>
    <xf numFmtId="0" fontId="5" fillId="3" borderId="1" xfId="0" applyFont="1" applyFill="1" applyBorder="1" applyProtection="1"/>
    <xf numFmtId="0" fontId="2" fillId="3" borderId="1" xfId="0" applyFont="1" applyFill="1" applyBorder="1" applyProtection="1"/>
    <xf numFmtId="0" fontId="1" fillId="0" borderId="8" xfId="0" applyFont="1" applyBorder="1" applyProtection="1"/>
    <xf numFmtId="0" fontId="2" fillId="5" borderId="2" xfId="0" applyFont="1" applyFill="1" applyBorder="1" applyProtection="1">
      <protection locked="0"/>
    </xf>
    <xf numFmtId="3" fontId="2" fillId="5" borderId="2" xfId="0" applyNumberFormat="1" applyFont="1" applyFill="1" applyBorder="1" applyProtection="1">
      <protection locked="0"/>
    </xf>
    <xf numFmtId="0" fontId="1" fillId="0" borderId="5" xfId="0" applyFont="1" applyBorder="1" applyProtection="1"/>
    <xf numFmtId="3" fontId="2" fillId="3" borderId="2" xfId="0" applyNumberFormat="1" applyFont="1" applyFill="1" applyBorder="1" applyProtection="1"/>
    <xf numFmtId="0" fontId="15" fillId="0" borderId="13" xfId="0" applyFont="1" applyBorder="1" applyProtection="1"/>
    <xf numFmtId="1" fontId="2" fillId="3" borderId="0" xfId="0" applyNumberFormat="1" applyFont="1" applyFill="1" applyBorder="1" applyAlignment="1" applyProtection="1">
      <alignment horizontal="right"/>
    </xf>
    <xf numFmtId="3" fontId="2" fillId="3" borderId="0" xfId="0" applyNumberFormat="1" applyFont="1" applyFill="1" applyBorder="1" applyAlignment="1" applyProtection="1">
      <alignment horizontal="right"/>
    </xf>
    <xf numFmtId="165" fontId="2" fillId="2" borderId="5" xfId="0" applyNumberFormat="1" applyFont="1" applyFill="1" applyBorder="1" applyProtection="1">
      <protection locked="0"/>
    </xf>
    <xf numFmtId="0" fontId="2" fillId="5" borderId="0" xfId="0" applyFont="1" applyFill="1" applyBorder="1" applyProtection="1">
      <protection locked="0"/>
    </xf>
    <xf numFmtId="3" fontId="2" fillId="5" borderId="0" xfId="0" applyNumberFormat="1" applyFont="1" applyFill="1" applyBorder="1" applyProtection="1">
      <protection locked="0"/>
    </xf>
    <xf numFmtId="3" fontId="2" fillId="5" borderId="1" xfId="0" applyNumberFormat="1" applyFont="1" applyFill="1" applyBorder="1" applyProtection="1">
      <protection locked="0"/>
    </xf>
    <xf numFmtId="3" fontId="2" fillId="5" borderId="5" xfId="0" applyNumberFormat="1" applyFont="1" applyFill="1" applyBorder="1" applyProtection="1">
      <protection locked="0"/>
    </xf>
    <xf numFmtId="1" fontId="2" fillId="5" borderId="0" xfId="0" applyNumberFormat="1" applyFont="1" applyFill="1" applyBorder="1" applyAlignment="1" applyProtection="1">
      <alignment vertical="top"/>
      <protection locked="0"/>
    </xf>
    <xf numFmtId="1" fontId="2" fillId="5" borderId="0" xfId="0" applyNumberFormat="1" applyFont="1" applyFill="1" applyBorder="1" applyProtection="1">
      <protection locked="0"/>
    </xf>
    <xf numFmtId="0" fontId="6" fillId="0" borderId="0" xfId="0" applyFont="1" applyAlignment="1">
      <alignment horizontal="center"/>
    </xf>
    <xf numFmtId="0" fontId="1" fillId="0" borderId="0" xfId="0" applyFont="1" applyAlignment="1">
      <alignment vertical="top" wrapText="1"/>
    </xf>
    <xf numFmtId="0" fontId="1" fillId="0" borderId="0" xfId="0" applyFont="1" applyAlignment="1">
      <alignment horizontal="left" vertical="top" wrapText="1"/>
    </xf>
    <xf numFmtId="0" fontId="6" fillId="0" borderId="0" xfId="0" applyFont="1" applyAlignment="1" applyProtection="1">
      <alignment horizontal="center"/>
    </xf>
    <xf numFmtId="0" fontId="2" fillId="0" borderId="13" xfId="0" applyFont="1" applyBorder="1" applyAlignment="1" applyProtection="1">
      <alignment horizontal="left" vertical="top" wrapText="1"/>
    </xf>
    <xf numFmtId="0" fontId="2" fillId="0" borderId="7" xfId="0" applyFont="1" applyBorder="1" applyAlignment="1" applyProtection="1">
      <alignment horizontal="left" vertical="top" wrapText="1"/>
    </xf>
    <xf numFmtId="0" fontId="2" fillId="0" borderId="6" xfId="0" applyFont="1" applyBorder="1" applyAlignment="1" applyProtection="1">
      <alignment horizontal="center"/>
    </xf>
    <xf numFmtId="0" fontId="2" fillId="0" borderId="12" xfId="0" applyFont="1" applyBorder="1" applyAlignment="1" applyProtection="1">
      <alignment horizontal="center"/>
    </xf>
    <xf numFmtId="0" fontId="2" fillId="0" borderId="8" xfId="0" applyFont="1" applyBorder="1" applyAlignment="1" applyProtection="1">
      <alignment horizontal="center"/>
    </xf>
    <xf numFmtId="0" fontId="2" fillId="0" borderId="15" xfId="0" applyFont="1" applyBorder="1" applyAlignment="1" applyProtection="1">
      <alignment horizontal="left" vertical="top" wrapText="1"/>
    </xf>
    <xf numFmtId="0" fontId="2" fillId="0" borderId="16" xfId="0" applyFont="1" applyBorder="1" applyAlignment="1" applyProtection="1">
      <alignment horizontal="left" vertical="top" wrapText="1"/>
    </xf>
    <xf numFmtId="0" fontId="12" fillId="0" borderId="9" xfId="0" applyFont="1" applyBorder="1" applyAlignment="1" applyProtection="1">
      <alignment horizontal="left" wrapText="1"/>
    </xf>
    <xf numFmtId="0" fontId="12" fillId="0" borderId="2" xfId="0" applyFont="1" applyBorder="1" applyAlignment="1" applyProtection="1">
      <alignment horizontal="left" wrapText="1"/>
    </xf>
    <xf numFmtId="0" fontId="2" fillId="2" borderId="13" xfId="0" applyFont="1" applyFill="1" applyBorder="1" applyAlignment="1" applyProtection="1">
      <alignment horizontal="left" vertical="top" wrapText="1"/>
      <protection locked="0"/>
    </xf>
    <xf numFmtId="0" fontId="2" fillId="2" borderId="0" xfId="0" applyFont="1" applyFill="1" applyBorder="1" applyAlignment="1" applyProtection="1">
      <alignment horizontal="left" vertical="top" wrapText="1"/>
      <protection locked="0"/>
    </xf>
    <xf numFmtId="0" fontId="2" fillId="2" borderId="12" xfId="0" applyFont="1" applyFill="1" applyBorder="1" applyAlignment="1" applyProtection="1">
      <alignment horizontal="left" vertical="top" wrapText="1"/>
      <protection locked="0"/>
    </xf>
    <xf numFmtId="0" fontId="2" fillId="0" borderId="1" xfId="0" quotePrefix="1" applyFont="1" applyBorder="1" applyAlignment="1" applyProtection="1">
      <alignment horizontal="left" wrapText="1"/>
    </xf>
    <xf numFmtId="0" fontId="2" fillId="0" borderId="8" xfId="0" quotePrefix="1" applyFont="1" applyBorder="1" applyAlignment="1" applyProtection="1">
      <alignment horizontal="left" wrapText="1"/>
    </xf>
    <xf numFmtId="0" fontId="2" fillId="2" borderId="5" xfId="0" applyFont="1" applyFill="1" applyBorder="1" applyAlignment="1" applyProtection="1">
      <alignment horizontal="left" vertical="top" wrapText="1"/>
      <protection locked="0"/>
    </xf>
    <xf numFmtId="0" fontId="2" fillId="2" borderId="6" xfId="0" applyFont="1" applyFill="1" applyBorder="1" applyAlignment="1" applyProtection="1">
      <alignment horizontal="left" vertical="top" wrapText="1"/>
      <protection locked="0"/>
    </xf>
    <xf numFmtId="0" fontId="2" fillId="2" borderId="2" xfId="0" applyFont="1" applyFill="1" applyBorder="1" applyAlignment="1" applyProtection="1">
      <alignment horizontal="left"/>
      <protection locked="0"/>
    </xf>
    <xf numFmtId="0" fontId="2" fillId="0" borderId="5" xfId="0" applyFont="1" applyBorder="1" applyAlignment="1" applyProtection="1">
      <alignment horizontal="left"/>
    </xf>
    <xf numFmtId="0" fontId="2" fillId="0" borderId="1" xfId="0" applyFont="1" applyBorder="1" applyAlignment="1" applyProtection="1">
      <alignment horizontal="left"/>
    </xf>
    <xf numFmtId="0" fontId="2" fillId="2" borderId="1" xfId="0" applyFont="1" applyFill="1" applyBorder="1" applyAlignment="1" applyProtection="1">
      <alignment horizontal="left"/>
      <protection locked="0"/>
    </xf>
    <xf numFmtId="0" fontId="2" fillId="2" borderId="8" xfId="0" applyFont="1" applyFill="1" applyBorder="1" applyAlignment="1" applyProtection="1">
      <alignment horizontal="left"/>
      <protection locked="0"/>
    </xf>
    <xf numFmtId="0" fontId="8" fillId="4" borderId="0" xfId="0" applyFont="1" applyFill="1" applyBorder="1" applyAlignment="1" applyProtection="1">
      <alignment horizontal="left" vertical="top" wrapText="1"/>
    </xf>
    <xf numFmtId="0" fontId="7" fillId="3" borderId="0" xfId="0" applyFont="1" applyFill="1" applyBorder="1" applyAlignment="1" applyProtection="1">
      <alignment horizontal="left" vertical="top" wrapText="1"/>
    </xf>
    <xf numFmtId="14" fontId="7" fillId="3" borderId="0" xfId="0" applyNumberFormat="1" applyFont="1" applyFill="1" applyBorder="1" applyAlignment="1" applyProtection="1">
      <alignment horizontal="left" vertical="top" wrapText="1"/>
    </xf>
    <xf numFmtId="0" fontId="12" fillId="0" borderId="9" xfId="0" applyFont="1" applyBorder="1" applyAlignment="1">
      <alignment horizontal="left" wrapText="1"/>
    </xf>
    <xf numFmtId="0" fontId="12" fillId="0" borderId="2" xfId="0" applyFont="1" applyBorder="1" applyAlignment="1">
      <alignment horizontal="left" wrapText="1"/>
    </xf>
    <xf numFmtId="0" fontId="2" fillId="2" borderId="5" xfId="0" applyFont="1" applyFill="1" applyBorder="1" applyAlignment="1" applyProtection="1">
      <alignment horizontal="left"/>
      <protection locked="0"/>
    </xf>
    <xf numFmtId="0" fontId="8" fillId="4" borderId="0" xfId="0" applyFont="1" applyFill="1" applyBorder="1" applyAlignment="1">
      <alignment horizontal="left" vertical="top" wrapText="1"/>
    </xf>
    <xf numFmtId="0" fontId="7" fillId="3" borderId="0" xfId="0" applyFont="1" applyFill="1" applyBorder="1" applyAlignment="1">
      <alignment horizontal="left" vertical="top" wrapText="1"/>
    </xf>
    <xf numFmtId="14" fontId="7" fillId="3" borderId="0" xfId="0" applyNumberFormat="1" applyFont="1" applyFill="1" applyBorder="1" applyAlignment="1">
      <alignment horizontal="left" vertical="top" wrapText="1"/>
    </xf>
    <xf numFmtId="0" fontId="8" fillId="0" borderId="0" xfId="0" applyFont="1" applyFill="1" applyBorder="1" applyAlignment="1" applyProtection="1">
      <alignment horizontal="left" vertical="top" wrapText="1"/>
    </xf>
    <xf numFmtId="0" fontId="10" fillId="0" borderId="14" xfId="0" applyFont="1" applyBorder="1" applyAlignment="1" applyProtection="1">
      <alignment horizontal="center" vertical="center" wrapText="1"/>
    </xf>
    <xf numFmtId="0" fontId="10" fillId="0" borderId="3" xfId="0" applyFont="1" applyBorder="1" applyAlignment="1" applyProtection="1">
      <alignment horizontal="left" vertical="center" wrapText="1"/>
    </xf>
    <xf numFmtId="0" fontId="11" fillId="0" borderId="3" xfId="0" applyFont="1" applyBorder="1" applyAlignment="1" applyProtection="1">
      <alignment horizontal="left" vertical="center" wrapText="1"/>
    </xf>
    <xf numFmtId="0" fontId="11" fillId="0" borderId="3" xfId="0" applyFont="1" applyBorder="1" applyAlignment="1" applyProtection="1">
      <alignment horizontal="center" vertical="center" wrapText="1"/>
    </xf>
    <xf numFmtId="0" fontId="2" fillId="5" borderId="2" xfId="0" applyFont="1" applyFill="1" applyBorder="1" applyAlignment="1" applyProtection="1">
      <alignment horizontal="left"/>
      <protection locked="0"/>
    </xf>
    <xf numFmtId="0" fontId="10" fillId="0" borderId="3" xfId="0" applyFont="1" applyBorder="1" applyAlignment="1" applyProtection="1">
      <alignment horizontal="center" vertical="center" wrapText="1"/>
    </xf>
    <xf numFmtId="17" fontId="11" fillId="0" borderId="3" xfId="0" quotePrefix="1" applyNumberFormat="1" applyFont="1" applyBorder="1" applyAlignment="1" applyProtection="1">
      <alignment horizontal="center" vertical="center" wrapText="1"/>
    </xf>
    <xf numFmtId="0" fontId="5" fillId="0" borderId="9" xfId="0" applyFont="1" applyBorder="1" applyAlignment="1" applyProtection="1">
      <alignment horizontal="left" wrapText="1"/>
    </xf>
    <xf numFmtId="0" fontId="5" fillId="0" borderId="2" xfId="0" applyFont="1" applyBorder="1" applyAlignment="1" applyProtection="1">
      <alignment horizontal="left" wrapText="1"/>
    </xf>
    <xf numFmtId="0" fontId="2" fillId="0" borderId="2" xfId="0" applyFont="1" applyBorder="1" applyAlignment="1" applyProtection="1">
      <alignment horizontal="left" wrapText="1"/>
    </xf>
    <xf numFmtId="0" fontId="2" fillId="0" borderId="10" xfId="0" applyFont="1" applyBorder="1" applyAlignment="1" applyProtection="1">
      <alignment horizontal="left" wrapText="1"/>
    </xf>
    <xf numFmtId="0" fontId="5" fillId="3" borderId="1" xfId="0" applyFont="1" applyFill="1" applyBorder="1" applyAlignment="1" applyProtection="1">
      <alignment horizontal="left"/>
    </xf>
    <xf numFmtId="0" fontId="14" fillId="0" borderId="0" xfId="0" applyFont="1" applyBorder="1" applyAlignment="1" applyProtection="1">
      <alignment horizontal="left" vertical="top" wrapText="1"/>
    </xf>
    <xf numFmtId="0" fontId="14" fillId="0" borderId="12" xfId="0" applyFont="1" applyBorder="1" applyAlignment="1" applyProtection="1">
      <alignment horizontal="left" vertical="top" wrapText="1"/>
    </xf>
    <xf numFmtId="0" fontId="5" fillId="0" borderId="3" xfId="0" applyFont="1" applyBorder="1" applyAlignment="1">
      <alignment horizontal="center"/>
    </xf>
    <xf numFmtId="0" fontId="5" fillId="0" borderId="3" xfId="0" applyFont="1" applyBorder="1" applyAlignment="1">
      <alignment horizontal="center" wrapText="1"/>
    </xf>
    <xf numFmtId="0" fontId="5" fillId="0" borderId="9" xfId="0" applyFont="1" applyBorder="1" applyAlignment="1">
      <alignment horizontal="left" wrapText="1"/>
    </xf>
    <xf numFmtId="0" fontId="5" fillId="0" borderId="2" xfId="0" applyFont="1" applyBorder="1" applyAlignment="1">
      <alignment horizontal="left" wrapText="1"/>
    </xf>
    <xf numFmtId="0" fontId="15" fillId="0" borderId="3" xfId="0" applyFont="1" applyBorder="1" applyAlignment="1">
      <alignment horizontal="center"/>
    </xf>
    <xf numFmtId="0" fontId="2" fillId="0" borderId="2" xfId="0" applyFont="1" applyBorder="1" applyAlignment="1">
      <alignment horizontal="left" wrapText="1"/>
    </xf>
    <xf numFmtId="0" fontId="2" fillId="0" borderId="10" xfId="0" applyFont="1" applyBorder="1" applyAlignment="1">
      <alignment horizontal="left" wrapText="1"/>
    </xf>
    <xf numFmtId="0" fontId="5" fillId="0" borderId="9" xfId="0" applyFont="1" applyBorder="1" applyAlignment="1">
      <alignment horizontal="left" vertical="top" wrapText="1"/>
    </xf>
    <xf numFmtId="0" fontId="5" fillId="0" borderId="2" xfId="0" applyFont="1" applyBorder="1" applyAlignment="1">
      <alignment horizontal="left" vertical="top" wrapText="1"/>
    </xf>
    <xf numFmtId="0" fontId="2" fillId="3" borderId="1" xfId="0" applyFont="1" applyFill="1" applyBorder="1" applyAlignment="1">
      <alignment horizontal="left"/>
    </xf>
    <xf numFmtId="0" fontId="2" fillId="0" borderId="0" xfId="0" applyFont="1" applyBorder="1" applyAlignment="1">
      <alignment horizontal="left" vertical="top" wrapText="1"/>
    </xf>
    <xf numFmtId="0" fontId="2" fillId="0" borderId="12"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topLeftCell="A4" workbookViewId="0">
      <selection activeCell="K1" sqref="K1"/>
    </sheetView>
  </sheetViews>
  <sheetFormatPr defaultRowHeight="15" x14ac:dyDescent="0.25"/>
  <cols>
    <col min="1" max="16384" width="9.140625" style="1"/>
  </cols>
  <sheetData>
    <row r="1" spans="1:10" x14ac:dyDescent="0.25">
      <c r="A1" s="164" t="s">
        <v>33</v>
      </c>
      <c r="B1" s="164"/>
      <c r="C1" s="164"/>
      <c r="D1" s="164"/>
      <c r="E1" s="164"/>
      <c r="F1" s="164"/>
      <c r="G1" s="164"/>
      <c r="H1" s="164"/>
      <c r="I1" s="164"/>
      <c r="J1" s="164"/>
    </row>
    <row r="2" spans="1:10" x14ac:dyDescent="0.25">
      <c r="A2" s="164" t="s">
        <v>221</v>
      </c>
      <c r="B2" s="164"/>
      <c r="C2" s="164"/>
      <c r="D2" s="164"/>
      <c r="E2" s="164"/>
      <c r="F2" s="164"/>
      <c r="G2" s="164"/>
      <c r="H2" s="164"/>
      <c r="I2" s="164"/>
      <c r="J2" s="164"/>
    </row>
    <row r="3" spans="1:10" ht="3.75" customHeight="1" x14ac:dyDescent="0.25"/>
    <row r="4" spans="1:10" ht="106.5" customHeight="1" x14ac:dyDescent="0.25">
      <c r="A4" s="166" t="s">
        <v>222</v>
      </c>
      <c r="B4" s="166"/>
      <c r="C4" s="166"/>
      <c r="D4" s="166"/>
      <c r="E4" s="166"/>
      <c r="F4" s="166"/>
      <c r="G4" s="166"/>
      <c r="H4" s="166"/>
      <c r="I4" s="166"/>
      <c r="J4" s="166"/>
    </row>
    <row r="5" spans="1:10" ht="75" customHeight="1" x14ac:dyDescent="0.25">
      <c r="A5" s="166" t="s">
        <v>223</v>
      </c>
      <c r="B5" s="166"/>
      <c r="C5" s="166"/>
      <c r="D5" s="166"/>
      <c r="E5" s="166"/>
      <c r="F5" s="166"/>
      <c r="G5" s="166"/>
      <c r="H5" s="166"/>
      <c r="I5" s="166"/>
      <c r="J5" s="166"/>
    </row>
    <row r="6" spans="1:10" ht="240.75" customHeight="1" x14ac:dyDescent="0.25">
      <c r="A6" s="166" t="s">
        <v>224</v>
      </c>
      <c r="B6" s="166"/>
      <c r="C6" s="166"/>
      <c r="D6" s="166"/>
      <c r="E6" s="166"/>
      <c r="F6" s="166"/>
      <c r="G6" s="166"/>
      <c r="H6" s="166"/>
      <c r="I6" s="166"/>
      <c r="J6" s="166"/>
    </row>
    <row r="7" spans="1:10" ht="107.25" customHeight="1" x14ac:dyDescent="0.25">
      <c r="A7" s="166" t="s">
        <v>226</v>
      </c>
      <c r="B7" s="166"/>
      <c r="C7" s="166"/>
      <c r="D7" s="166"/>
      <c r="E7" s="166"/>
      <c r="F7" s="166"/>
      <c r="G7" s="166"/>
      <c r="H7" s="166"/>
      <c r="I7" s="166"/>
      <c r="J7" s="166"/>
    </row>
    <row r="8" spans="1:10" ht="80.25" customHeight="1" x14ac:dyDescent="0.25">
      <c r="A8" s="165" t="s">
        <v>225</v>
      </c>
      <c r="B8" s="165"/>
      <c r="C8" s="165"/>
      <c r="D8" s="165"/>
      <c r="E8" s="165"/>
      <c r="F8" s="165"/>
      <c r="G8" s="165"/>
      <c r="H8" s="165"/>
      <c r="I8" s="165"/>
      <c r="J8" s="165"/>
    </row>
    <row r="9" spans="1:10" ht="30.75" customHeight="1" x14ac:dyDescent="0.25">
      <c r="A9" s="166" t="s">
        <v>227</v>
      </c>
      <c r="B9" s="166"/>
      <c r="C9" s="166"/>
      <c r="D9" s="166"/>
      <c r="E9" s="166"/>
      <c r="F9" s="166"/>
      <c r="G9" s="166"/>
      <c r="H9" s="166"/>
      <c r="I9" s="166"/>
      <c r="J9" s="166"/>
    </row>
  </sheetData>
  <sheetProtection sheet="1" objects="1" scenarios="1" selectLockedCells="1"/>
  <mergeCells count="8">
    <mergeCell ref="A1:J1"/>
    <mergeCell ref="A2:J2"/>
    <mergeCell ref="A8:J8"/>
    <mergeCell ref="A9:J9"/>
    <mergeCell ref="A4:J4"/>
    <mergeCell ref="A5:J5"/>
    <mergeCell ref="A6:J6"/>
    <mergeCell ref="A7:J7"/>
  </mergeCells>
  <pageMargins left="0.5" right="0.5" top="0.5" bottom="0.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tabSelected="1" zoomScaleNormal="100" workbookViewId="0">
      <selection activeCell="E28" activeCellId="2" sqref="B22:D22 E23:E26 E28:E31"/>
    </sheetView>
  </sheetViews>
  <sheetFormatPr defaultRowHeight="15" x14ac:dyDescent="0.25"/>
  <cols>
    <col min="1" max="1" width="9.7109375" style="1" customWidth="1"/>
    <col min="2" max="2" width="5" style="1" customWidth="1"/>
    <col min="3" max="3" width="9.140625" style="1"/>
    <col min="4" max="4" width="10" style="1" customWidth="1"/>
    <col min="5" max="5" width="10.28515625" style="1" customWidth="1"/>
    <col min="6" max="6" width="9.28515625" style="1" customWidth="1"/>
    <col min="7" max="7" width="10.5703125" style="1" customWidth="1"/>
    <col min="8" max="9" width="9.140625" style="1"/>
    <col min="10" max="10" width="8.140625" style="1" customWidth="1"/>
    <col min="11" max="11" width="9.140625" style="1"/>
    <col min="12" max="12" width="10.42578125" style="1" bestFit="1" customWidth="1"/>
    <col min="13" max="16" width="9.140625" style="1"/>
    <col min="17" max="17" width="17.5703125" style="1" customWidth="1"/>
    <col min="18" max="18" width="23.28515625" style="1" customWidth="1"/>
    <col min="19" max="19" width="25.42578125" style="1" customWidth="1"/>
    <col min="20" max="16384" width="9.140625" style="1"/>
  </cols>
  <sheetData>
    <row r="1" spans="1:10" x14ac:dyDescent="0.25">
      <c r="A1" s="164" t="s">
        <v>33</v>
      </c>
      <c r="B1" s="164"/>
      <c r="C1" s="164"/>
      <c r="D1" s="164"/>
      <c r="E1" s="164"/>
      <c r="F1" s="164"/>
      <c r="G1" s="164"/>
      <c r="H1" s="164"/>
      <c r="I1" s="164"/>
      <c r="J1" s="164"/>
    </row>
    <row r="2" spans="1:10" x14ac:dyDescent="0.25">
      <c r="A2" s="164" t="s">
        <v>215</v>
      </c>
      <c r="B2" s="164"/>
      <c r="C2" s="164"/>
      <c r="D2" s="164"/>
      <c r="E2" s="164"/>
      <c r="F2" s="164"/>
      <c r="G2" s="164"/>
      <c r="H2" s="164"/>
      <c r="I2" s="164"/>
      <c r="J2" s="164"/>
    </row>
    <row r="4" spans="1:10" x14ac:dyDescent="0.25">
      <c r="A4" s="195" t="s">
        <v>30</v>
      </c>
      <c r="B4" s="195"/>
      <c r="C4" s="195"/>
      <c r="D4" s="196" t="str">
        <f>'1-Project Information'!C4</f>
        <v>BETA-001</v>
      </c>
      <c r="E4" s="196"/>
      <c r="F4" s="196"/>
      <c r="G4" s="196"/>
      <c r="H4" s="196"/>
      <c r="I4" s="196"/>
      <c r="J4" s="196"/>
    </row>
    <row r="5" spans="1:10" x14ac:dyDescent="0.25">
      <c r="A5" s="195" t="s">
        <v>35</v>
      </c>
      <c r="B5" s="195"/>
      <c r="C5" s="195"/>
      <c r="D5" s="197">
        <f>'1-Project Information'!C5</f>
        <v>42278</v>
      </c>
      <c r="E5" s="197"/>
      <c r="F5" s="197"/>
      <c r="G5" s="197"/>
      <c r="H5" s="197"/>
      <c r="I5" s="197"/>
      <c r="J5" s="197"/>
    </row>
    <row r="6" spans="1:10" ht="7.5" customHeight="1" x14ac:dyDescent="0.25">
      <c r="A6" s="22"/>
    </row>
    <row r="7" spans="1:10" x14ac:dyDescent="0.25">
      <c r="A7" s="20" t="s">
        <v>213</v>
      </c>
    </row>
    <row r="8" spans="1:10" ht="7.5" customHeight="1" x14ac:dyDescent="0.25"/>
    <row r="9" spans="1:10" x14ac:dyDescent="0.25">
      <c r="A9" s="214" t="s">
        <v>214</v>
      </c>
      <c r="B9" s="214"/>
      <c r="C9" s="213" t="s">
        <v>217</v>
      </c>
      <c r="D9" s="213"/>
      <c r="E9" s="213"/>
      <c r="F9" s="213"/>
      <c r="H9" s="33"/>
      <c r="I9" s="2"/>
      <c r="J9" s="2"/>
    </row>
    <row r="10" spans="1:10" x14ac:dyDescent="0.25">
      <c r="A10" s="214"/>
      <c r="B10" s="214"/>
      <c r="C10" s="51">
        <v>18</v>
      </c>
      <c r="D10" s="51">
        <v>24</v>
      </c>
      <c r="E10" s="51">
        <v>30</v>
      </c>
      <c r="F10" s="51">
        <v>36</v>
      </c>
      <c r="H10" s="33"/>
      <c r="I10" s="2"/>
      <c r="J10" s="2"/>
    </row>
    <row r="11" spans="1:10" x14ac:dyDescent="0.25">
      <c r="A11" s="214"/>
      <c r="B11" s="214"/>
      <c r="C11" s="213" t="s">
        <v>216</v>
      </c>
      <c r="D11" s="213"/>
      <c r="E11" s="213"/>
      <c r="F11" s="213"/>
      <c r="H11" s="33"/>
      <c r="I11" s="2"/>
      <c r="J11" s="2"/>
    </row>
    <row r="12" spans="1:10" x14ac:dyDescent="0.25">
      <c r="A12" s="213">
        <v>100</v>
      </c>
      <c r="B12" s="213"/>
      <c r="C12" s="55">
        <v>8.3333333333333339</v>
      </c>
      <c r="D12" s="55">
        <v>7.1969696969696955</v>
      </c>
      <c r="E12" s="55">
        <v>6.333333333333333</v>
      </c>
      <c r="F12" s="55">
        <v>5.6547619047619051</v>
      </c>
      <c r="H12" s="31"/>
      <c r="I12" s="2"/>
      <c r="J12" s="32"/>
    </row>
    <row r="13" spans="1:10" x14ac:dyDescent="0.25">
      <c r="A13" s="213">
        <v>500</v>
      </c>
      <c r="B13" s="213"/>
      <c r="C13" s="53">
        <v>41.666666666666657</v>
      </c>
      <c r="D13" s="53">
        <v>35.98484848484847</v>
      </c>
      <c r="E13" s="53">
        <v>31.666666666666657</v>
      </c>
      <c r="F13" s="53">
        <v>28.273809523809518</v>
      </c>
      <c r="H13" s="31"/>
      <c r="I13" s="2"/>
      <c r="J13" s="32"/>
    </row>
    <row r="14" spans="1:10" x14ac:dyDescent="0.25">
      <c r="A14" s="213">
        <v>1000</v>
      </c>
      <c r="B14" s="213"/>
      <c r="C14" s="53">
        <v>83.333333333333314</v>
      </c>
      <c r="D14" s="53">
        <v>71.96969696969694</v>
      </c>
      <c r="E14" s="53">
        <v>63.333333333333314</v>
      </c>
      <c r="F14" s="53">
        <v>56.547619047619037</v>
      </c>
      <c r="H14" s="31"/>
      <c r="I14" s="2"/>
      <c r="J14" s="32"/>
    </row>
    <row r="15" spans="1:10" x14ac:dyDescent="0.25">
      <c r="A15" s="213">
        <v>2000</v>
      </c>
      <c r="B15" s="213"/>
      <c r="C15" s="53">
        <v>166.66666666666663</v>
      </c>
      <c r="D15" s="53">
        <v>143.93939393939388</v>
      </c>
      <c r="E15" s="53">
        <v>126.66666666666663</v>
      </c>
      <c r="F15" s="53">
        <v>113.09523809523807</v>
      </c>
      <c r="H15" s="31"/>
      <c r="I15" s="2"/>
      <c r="J15" s="32"/>
    </row>
    <row r="16" spans="1:10" x14ac:dyDescent="0.25">
      <c r="A16" s="213">
        <v>3000</v>
      </c>
      <c r="B16" s="213"/>
      <c r="C16" s="53">
        <v>250</v>
      </c>
      <c r="D16" s="53">
        <v>215.90909090909088</v>
      </c>
      <c r="E16" s="53">
        <v>190</v>
      </c>
      <c r="F16" s="53">
        <v>169.64285714285717</v>
      </c>
      <c r="H16" s="31"/>
      <c r="I16" s="2"/>
      <c r="J16" s="32"/>
    </row>
    <row r="17" spans="1:10" x14ac:dyDescent="0.25">
      <c r="A17" s="213">
        <v>4000</v>
      </c>
      <c r="B17" s="213"/>
      <c r="C17" s="53">
        <v>333.33333333333326</v>
      </c>
      <c r="D17" s="53">
        <v>287.87878787878776</v>
      </c>
      <c r="E17" s="53">
        <v>253.33333333333326</v>
      </c>
      <c r="F17" s="53">
        <v>226.19047619047615</v>
      </c>
      <c r="H17" s="31"/>
      <c r="I17" s="2"/>
      <c r="J17" s="32"/>
    </row>
    <row r="18" spans="1:10" x14ac:dyDescent="0.25">
      <c r="A18" s="213">
        <v>5000</v>
      </c>
      <c r="B18" s="213"/>
      <c r="C18" s="53">
        <v>416.66666666666669</v>
      </c>
      <c r="D18" s="53">
        <v>359.84848484848482</v>
      </c>
      <c r="E18" s="53">
        <v>316.66666666666663</v>
      </c>
      <c r="F18" s="53">
        <v>282.73809523809524</v>
      </c>
      <c r="H18" s="31"/>
      <c r="I18" s="2"/>
      <c r="J18" s="32"/>
    </row>
    <row r="19" spans="1:10" x14ac:dyDescent="0.25">
      <c r="A19" s="213">
        <v>7500</v>
      </c>
      <c r="B19" s="213"/>
      <c r="C19" s="53">
        <v>624.99999999999989</v>
      </c>
      <c r="D19" s="53">
        <v>539.77272727272714</v>
      </c>
      <c r="E19" s="53">
        <v>474.99999999999989</v>
      </c>
      <c r="F19" s="53">
        <v>424.10714285714278</v>
      </c>
      <c r="H19" s="31"/>
      <c r="I19" s="2"/>
      <c r="J19" s="32"/>
    </row>
    <row r="20" spans="1:10" x14ac:dyDescent="0.25">
      <c r="A20" s="213">
        <v>10000</v>
      </c>
      <c r="B20" s="213"/>
      <c r="C20" s="53">
        <v>833.33333333333337</v>
      </c>
      <c r="D20" s="53">
        <v>719.69696969696963</v>
      </c>
      <c r="E20" s="53">
        <v>633.33333333333326</v>
      </c>
      <c r="F20" s="53">
        <v>565.47619047619048</v>
      </c>
      <c r="H20" s="31"/>
      <c r="I20" s="2"/>
      <c r="J20" s="32"/>
    </row>
    <row r="21" spans="1:10" ht="7.5" customHeight="1" x14ac:dyDescent="0.25"/>
    <row r="22" spans="1:10" x14ac:dyDescent="0.25">
      <c r="A22" s="3" t="s">
        <v>58</v>
      </c>
      <c r="B22" s="203"/>
      <c r="C22" s="203"/>
      <c r="D22" s="203"/>
      <c r="E22" s="4"/>
      <c r="F22" s="4"/>
      <c r="G22" s="4"/>
      <c r="H22" s="4"/>
      <c r="I22" s="4"/>
      <c r="J22" s="5"/>
    </row>
    <row r="23" spans="1:10" x14ac:dyDescent="0.25">
      <c r="A23" s="3" t="s">
        <v>108</v>
      </c>
      <c r="B23" s="4"/>
      <c r="C23" s="4"/>
      <c r="D23" s="4"/>
      <c r="E23" s="150" t="s">
        <v>116</v>
      </c>
      <c r="F23" s="4"/>
      <c r="G23" s="4"/>
      <c r="H23" s="4"/>
      <c r="I23" s="4"/>
      <c r="J23" s="5"/>
    </row>
    <row r="24" spans="1:10" x14ac:dyDescent="0.25">
      <c r="A24" s="3" t="s">
        <v>109</v>
      </c>
      <c r="B24" s="4"/>
      <c r="C24" s="4"/>
      <c r="D24" s="4"/>
      <c r="E24" s="150">
        <v>0</v>
      </c>
      <c r="F24" s="4" t="s">
        <v>110</v>
      </c>
      <c r="G24" s="4"/>
      <c r="H24" s="4"/>
      <c r="I24" s="4"/>
      <c r="J24" s="5"/>
    </row>
    <row r="25" spans="1:10" x14ac:dyDescent="0.25">
      <c r="A25" s="3" t="s">
        <v>111</v>
      </c>
      <c r="B25" s="4"/>
      <c r="C25" s="4"/>
      <c r="D25" s="4"/>
      <c r="E25" s="150">
        <v>0</v>
      </c>
      <c r="F25" s="4" t="s">
        <v>115</v>
      </c>
      <c r="G25" s="4"/>
      <c r="H25" s="4"/>
      <c r="I25" s="4"/>
      <c r="J25" s="5"/>
    </row>
    <row r="26" spans="1:10" ht="24.75" customHeight="1" x14ac:dyDescent="0.25">
      <c r="A26" s="220" t="s">
        <v>229</v>
      </c>
      <c r="B26" s="221"/>
      <c r="C26" s="221"/>
      <c r="D26" s="221"/>
      <c r="E26" s="151">
        <v>0</v>
      </c>
      <c r="F26" s="218" t="s">
        <v>230</v>
      </c>
      <c r="G26" s="218"/>
      <c r="H26" s="218"/>
      <c r="I26" s="218"/>
      <c r="J26" s="219"/>
    </row>
    <row r="27" spans="1:10" x14ac:dyDescent="0.25">
      <c r="A27" s="215" t="s">
        <v>245</v>
      </c>
      <c r="B27" s="216"/>
      <c r="C27" s="216"/>
      <c r="D27" s="216"/>
      <c r="E27" s="26">
        <f>IF((E24*E25)-E26&lt;=10000,(E24*E25)-E26,"Not Allowed")</f>
        <v>0</v>
      </c>
      <c r="F27" s="4" t="s">
        <v>236</v>
      </c>
      <c r="G27" s="4"/>
      <c r="H27" s="4"/>
      <c r="I27" s="4"/>
      <c r="J27" s="5"/>
    </row>
    <row r="28" spans="1:10" x14ac:dyDescent="0.25">
      <c r="A28" s="6" t="s">
        <v>119</v>
      </c>
      <c r="B28" s="7"/>
      <c r="C28" s="7"/>
      <c r="D28" s="8"/>
      <c r="E28" s="123">
        <v>6</v>
      </c>
      <c r="F28" s="8" t="s">
        <v>127</v>
      </c>
      <c r="G28" s="8"/>
      <c r="H28" s="8"/>
      <c r="I28" s="8"/>
      <c r="J28" s="9"/>
    </row>
    <row r="29" spans="1:10" x14ac:dyDescent="0.25">
      <c r="A29" s="6" t="s">
        <v>218</v>
      </c>
      <c r="B29" s="7"/>
      <c r="C29" s="7"/>
      <c r="D29" s="8"/>
      <c r="E29" s="123">
        <v>18</v>
      </c>
      <c r="F29" s="8" t="s">
        <v>125</v>
      </c>
      <c r="G29" s="8"/>
      <c r="H29" s="8"/>
      <c r="I29" s="8"/>
      <c r="J29" s="9"/>
    </row>
    <row r="30" spans="1:10" x14ac:dyDescent="0.25">
      <c r="A30" s="6" t="s">
        <v>68</v>
      </c>
      <c r="B30" s="7"/>
      <c r="C30" s="7"/>
      <c r="D30" s="8"/>
      <c r="E30" s="157">
        <v>0.5</v>
      </c>
      <c r="F30" s="8" t="s">
        <v>69</v>
      </c>
      <c r="G30" s="8"/>
      <c r="H30" s="8"/>
      <c r="I30" s="8"/>
      <c r="J30" s="9"/>
    </row>
    <row r="31" spans="1:10" x14ac:dyDescent="0.25">
      <c r="A31" s="6" t="s">
        <v>253</v>
      </c>
      <c r="B31" s="7"/>
      <c r="C31" s="7"/>
      <c r="D31" s="8"/>
      <c r="E31" s="157">
        <v>2</v>
      </c>
      <c r="F31" s="8" t="s">
        <v>254</v>
      </c>
      <c r="G31" s="8"/>
      <c r="H31" s="8"/>
      <c r="I31" s="8"/>
      <c r="J31" s="9"/>
    </row>
    <row r="32" spans="1:10" x14ac:dyDescent="0.25">
      <c r="A32" s="6" t="s">
        <v>112</v>
      </c>
      <c r="B32" s="7"/>
      <c r="C32" s="7"/>
      <c r="D32" s="8"/>
      <c r="E32" s="8"/>
      <c r="F32" s="8"/>
      <c r="G32" s="8"/>
      <c r="H32" s="8"/>
      <c r="I32" s="8"/>
      <c r="J32" s="9"/>
    </row>
    <row r="33" spans="1:10" hidden="1" x14ac:dyDescent="0.25">
      <c r="A33" s="20" t="s">
        <v>123</v>
      </c>
      <c r="B33" s="21"/>
      <c r="C33" s="21"/>
      <c r="D33" s="15"/>
      <c r="E33" s="15"/>
      <c r="F33" s="15"/>
      <c r="G33" s="29">
        <f>((1*(0.05+0.009*100)*((E27-E26)/43560))/12)*43560</f>
        <v>0</v>
      </c>
      <c r="H33" s="15" t="s">
        <v>124</v>
      </c>
      <c r="I33" s="15"/>
      <c r="J33" s="16"/>
    </row>
    <row r="34" spans="1:10" x14ac:dyDescent="0.25">
      <c r="A34" s="64" t="s">
        <v>219</v>
      </c>
      <c r="B34" s="21"/>
      <c r="C34" s="21"/>
      <c r="D34" s="15"/>
      <c r="E34" s="15"/>
      <c r="F34" s="15"/>
      <c r="H34" s="29">
        <f>G33/(((E28/12)*1)+((E29/12)*0.3))</f>
        <v>0</v>
      </c>
      <c r="I34" s="15" t="s">
        <v>13</v>
      </c>
      <c r="J34" s="16"/>
    </row>
    <row r="35" spans="1:10" x14ac:dyDescent="0.25">
      <c r="A35" s="64" t="s">
        <v>255</v>
      </c>
      <c r="B35" s="21"/>
      <c r="C35" s="21"/>
      <c r="D35" s="15"/>
      <c r="E35" s="15"/>
      <c r="F35" s="15"/>
      <c r="H35" s="29">
        <f>H34/E31</f>
        <v>0</v>
      </c>
      <c r="I35" s="15" t="s">
        <v>82</v>
      </c>
      <c r="J35" s="16"/>
    </row>
    <row r="36" spans="1:10" x14ac:dyDescent="0.25">
      <c r="A36" s="67" t="s">
        <v>252</v>
      </c>
      <c r="B36" s="21"/>
      <c r="C36" s="21"/>
      <c r="D36" s="15"/>
      <c r="E36" s="15"/>
      <c r="F36" s="15"/>
      <c r="H36" s="54"/>
      <c r="I36" s="15"/>
      <c r="J36" s="16"/>
    </row>
    <row r="37" spans="1:10" x14ac:dyDescent="0.25">
      <c r="A37" s="68" t="s">
        <v>122</v>
      </c>
      <c r="B37" s="23"/>
      <c r="C37" s="222" t="str">
        <f>IF(E30&gt;=0.5, "NOT REQUIRED","LIKELY REQUIRED")</f>
        <v>NOT REQUIRED</v>
      </c>
      <c r="D37" s="222"/>
      <c r="E37" s="11"/>
      <c r="F37" s="11"/>
      <c r="G37" s="30"/>
      <c r="H37" s="11"/>
      <c r="I37" s="30"/>
      <c r="J37" s="14"/>
    </row>
    <row r="38" spans="1:10" x14ac:dyDescent="0.25">
      <c r="A38" s="21"/>
      <c r="B38" s="21"/>
      <c r="C38" s="21"/>
      <c r="D38" s="15"/>
      <c r="E38" s="15"/>
      <c r="F38" s="15"/>
      <c r="G38" s="15"/>
      <c r="H38" s="15"/>
      <c r="I38" s="15"/>
      <c r="J38" s="15"/>
    </row>
    <row r="39" spans="1:10" ht="30" customHeight="1" x14ac:dyDescent="0.25">
      <c r="A39" s="192" t="s">
        <v>256</v>
      </c>
      <c r="B39" s="193"/>
      <c r="C39" s="193"/>
      <c r="D39" s="193"/>
      <c r="E39" s="193"/>
      <c r="F39" s="193"/>
      <c r="G39" s="193"/>
      <c r="H39" s="63">
        <f>E27</f>
        <v>0</v>
      </c>
      <c r="I39" s="61" t="s">
        <v>13</v>
      </c>
      <c r="J39" s="41"/>
    </row>
  </sheetData>
  <sheetProtection sheet="1" objects="1" scenarios="1" selectLockedCells="1"/>
  <mergeCells count="24">
    <mergeCell ref="F26:J26"/>
    <mergeCell ref="A27:D27"/>
    <mergeCell ref="A1:J1"/>
    <mergeCell ref="A2:J2"/>
    <mergeCell ref="A4:C4"/>
    <mergeCell ref="D4:J4"/>
    <mergeCell ref="A5:C5"/>
    <mergeCell ref="D5:J5"/>
    <mergeCell ref="A39:G39"/>
    <mergeCell ref="A20:B20"/>
    <mergeCell ref="A9:B11"/>
    <mergeCell ref="C9:F9"/>
    <mergeCell ref="C11:F11"/>
    <mergeCell ref="A12:B12"/>
    <mergeCell ref="A13:B13"/>
    <mergeCell ref="A14:B14"/>
    <mergeCell ref="A15:B15"/>
    <mergeCell ref="A16:B16"/>
    <mergeCell ref="A17:B17"/>
    <mergeCell ref="A18:B18"/>
    <mergeCell ref="A19:B19"/>
    <mergeCell ref="B22:D22"/>
    <mergeCell ref="C37:D37"/>
    <mergeCell ref="A26:D26"/>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zoomScaleNormal="100" workbookViewId="0">
      <selection activeCell="E28" sqref="E28"/>
    </sheetView>
  </sheetViews>
  <sheetFormatPr defaultRowHeight="15" x14ac:dyDescent="0.25"/>
  <cols>
    <col min="1" max="1" width="10.7109375" style="1" customWidth="1"/>
    <col min="2" max="2" width="8" style="1" customWidth="1"/>
    <col min="3" max="3" width="9.140625" style="1"/>
    <col min="4" max="4" width="10" style="1" customWidth="1"/>
    <col min="5" max="5" width="9.140625" style="1"/>
    <col min="6" max="6" width="9.140625" style="1" customWidth="1"/>
    <col min="7" max="7" width="10.85546875" style="1" customWidth="1"/>
    <col min="8" max="11" width="9.140625" style="1"/>
    <col min="12" max="12" width="10.42578125" style="1" bestFit="1" customWidth="1"/>
    <col min="13" max="16" width="9.140625" style="1"/>
    <col min="17" max="17" width="17.5703125" style="1" customWidth="1"/>
    <col min="18" max="18" width="23.28515625" style="1" customWidth="1"/>
    <col min="19" max="19" width="25.42578125" style="1" customWidth="1"/>
    <col min="20" max="16384" width="9.140625" style="1"/>
  </cols>
  <sheetData>
    <row r="1" spans="1:10" x14ac:dyDescent="0.25">
      <c r="A1" s="164" t="s">
        <v>33</v>
      </c>
      <c r="B1" s="164"/>
      <c r="C1" s="164"/>
      <c r="D1" s="164"/>
      <c r="E1" s="164"/>
      <c r="F1" s="164"/>
      <c r="G1" s="164"/>
      <c r="H1" s="164"/>
      <c r="I1" s="164"/>
      <c r="J1" s="164"/>
    </row>
    <row r="2" spans="1:10" x14ac:dyDescent="0.25">
      <c r="A2" s="164" t="s">
        <v>129</v>
      </c>
      <c r="B2" s="164"/>
      <c r="C2" s="164"/>
      <c r="D2" s="164"/>
      <c r="E2" s="164"/>
      <c r="F2" s="164"/>
      <c r="G2" s="164"/>
      <c r="H2" s="164"/>
      <c r="I2" s="164"/>
      <c r="J2" s="164"/>
    </row>
    <row r="3" spans="1:10" ht="7.5" customHeight="1" x14ac:dyDescent="0.25"/>
    <row r="4" spans="1:10" ht="15" customHeight="1" x14ac:dyDescent="0.25">
      <c r="A4" s="50" t="s">
        <v>30</v>
      </c>
      <c r="B4" s="49"/>
      <c r="C4" s="49"/>
      <c r="D4" s="59" t="str">
        <f>'1-Project Information'!C4</f>
        <v>BETA-001</v>
      </c>
      <c r="E4" s="59"/>
      <c r="F4" s="59"/>
      <c r="G4" s="59"/>
      <c r="H4" s="59"/>
      <c r="I4" s="59"/>
      <c r="J4" s="59"/>
    </row>
    <row r="5" spans="1:10" ht="15" customHeight="1" x14ac:dyDescent="0.25">
      <c r="A5" s="50" t="s">
        <v>35</v>
      </c>
      <c r="B5" s="49"/>
      <c r="C5" s="49"/>
      <c r="D5" s="60">
        <f>'1-Project Information'!C5</f>
        <v>42278</v>
      </c>
      <c r="E5" s="60"/>
      <c r="F5" s="60"/>
      <c r="G5" s="60"/>
      <c r="H5" s="60"/>
      <c r="I5" s="60"/>
      <c r="J5" s="60"/>
    </row>
    <row r="6" spans="1:10" ht="7.5" customHeight="1" x14ac:dyDescent="0.25"/>
    <row r="7" spans="1:10" x14ac:dyDescent="0.25">
      <c r="A7" s="21" t="s">
        <v>231</v>
      </c>
    </row>
    <row r="8" spans="1:10" ht="7.5" customHeight="1" x14ac:dyDescent="0.25"/>
    <row r="9" spans="1:10" x14ac:dyDescent="0.25">
      <c r="A9" s="214" t="s">
        <v>132</v>
      </c>
      <c r="B9" s="214"/>
      <c r="C9" s="213" t="s">
        <v>232</v>
      </c>
      <c r="D9" s="213"/>
      <c r="E9" s="213"/>
      <c r="F9" s="213"/>
      <c r="G9" s="2"/>
      <c r="H9" s="2"/>
    </row>
    <row r="10" spans="1:10" x14ac:dyDescent="0.25">
      <c r="A10" s="214"/>
      <c r="B10" s="214"/>
      <c r="C10" s="19">
        <v>18</v>
      </c>
      <c r="D10" s="19">
        <v>24</v>
      </c>
      <c r="E10" s="19">
        <v>30</v>
      </c>
      <c r="F10" s="19">
        <v>36</v>
      </c>
      <c r="G10" s="2"/>
      <c r="H10" s="2"/>
    </row>
    <row r="11" spans="1:10" x14ac:dyDescent="0.25">
      <c r="A11" s="214"/>
      <c r="B11" s="214"/>
      <c r="C11" s="213" t="s">
        <v>233</v>
      </c>
      <c r="D11" s="213"/>
      <c r="E11" s="213"/>
      <c r="F11" s="213"/>
      <c r="G11" s="2"/>
      <c r="H11" s="2"/>
    </row>
    <row r="12" spans="1:10" x14ac:dyDescent="0.25">
      <c r="A12" s="213">
        <v>100</v>
      </c>
      <c r="B12" s="213"/>
      <c r="C12" s="56">
        <v>6.8443804034582127</v>
      </c>
      <c r="D12" s="56">
        <v>5.3251121076233172</v>
      </c>
      <c r="E12" s="56">
        <v>4.3577981651376136</v>
      </c>
      <c r="F12" s="56">
        <v>3.6878881987577641</v>
      </c>
      <c r="G12" s="2"/>
      <c r="H12" s="32"/>
    </row>
    <row r="13" spans="1:10" x14ac:dyDescent="0.25">
      <c r="A13" s="213">
        <v>500</v>
      </c>
      <c r="B13" s="213"/>
      <c r="C13" s="56">
        <v>34.221902017291058</v>
      </c>
      <c r="D13" s="56">
        <v>26.625560538116581</v>
      </c>
      <c r="E13" s="56">
        <v>21.788990825688064</v>
      </c>
      <c r="F13" s="56">
        <v>18.439440993788814</v>
      </c>
      <c r="G13" s="2"/>
      <c r="H13" s="32"/>
    </row>
    <row r="14" spans="1:10" x14ac:dyDescent="0.25">
      <c r="A14" s="213">
        <v>1000</v>
      </c>
      <c r="B14" s="213"/>
      <c r="C14" s="56">
        <v>68.443804034582115</v>
      </c>
      <c r="D14" s="56">
        <v>53.251121076233161</v>
      </c>
      <c r="E14" s="56">
        <v>43.577981651376128</v>
      </c>
      <c r="F14" s="56">
        <v>36.878881987577628</v>
      </c>
      <c r="G14" s="2"/>
      <c r="H14" s="32"/>
    </row>
    <row r="15" spans="1:10" x14ac:dyDescent="0.25">
      <c r="A15" s="213">
        <v>2000</v>
      </c>
      <c r="B15" s="213"/>
      <c r="C15" s="56">
        <v>136.88760806916423</v>
      </c>
      <c r="D15" s="56">
        <v>106.50224215246632</v>
      </c>
      <c r="E15" s="56">
        <v>87.155963302752255</v>
      </c>
      <c r="F15" s="56">
        <v>73.757763975155257</v>
      </c>
      <c r="G15" s="2"/>
      <c r="H15" s="32"/>
    </row>
    <row r="16" spans="1:10" x14ac:dyDescent="0.25">
      <c r="A16" s="213">
        <v>3000</v>
      </c>
      <c r="B16" s="213"/>
      <c r="C16" s="56">
        <v>205.33141210374637</v>
      </c>
      <c r="D16" s="56">
        <v>159.75336322869953</v>
      </c>
      <c r="E16" s="56">
        <v>130.73394495412842</v>
      </c>
      <c r="F16" s="56">
        <v>110.63664596273293</v>
      </c>
      <c r="G16" s="2"/>
      <c r="H16" s="32"/>
    </row>
    <row r="17" spans="1:10" x14ac:dyDescent="0.25">
      <c r="A17" s="213">
        <v>4000</v>
      </c>
      <c r="B17" s="213"/>
      <c r="C17" s="56">
        <v>273.77521613832846</v>
      </c>
      <c r="D17" s="56">
        <v>213.00448430493265</v>
      </c>
      <c r="E17" s="56">
        <v>174.31192660550451</v>
      </c>
      <c r="F17" s="56">
        <v>147.51552795031051</v>
      </c>
      <c r="G17" s="2"/>
      <c r="H17" s="32"/>
    </row>
    <row r="18" spans="1:10" x14ac:dyDescent="0.25">
      <c r="A18" s="213">
        <v>5000</v>
      </c>
      <c r="B18" s="213"/>
      <c r="C18" s="56">
        <v>342.21902017291063</v>
      </c>
      <c r="D18" s="56">
        <v>266.25560538116588</v>
      </c>
      <c r="E18" s="56">
        <v>217.88990825688069</v>
      </c>
      <c r="F18" s="56">
        <v>184.39440993788821</v>
      </c>
      <c r="G18" s="2"/>
      <c r="H18" s="32"/>
    </row>
    <row r="19" spans="1:10" x14ac:dyDescent="0.25">
      <c r="A19" s="213">
        <v>7500</v>
      </c>
      <c r="B19" s="213"/>
      <c r="C19" s="56">
        <v>513.32853025936583</v>
      </c>
      <c r="D19" s="56">
        <v>399.38340807174876</v>
      </c>
      <c r="E19" s="56">
        <v>326.834862385321</v>
      </c>
      <c r="F19" s="56">
        <v>276.59161490683226</v>
      </c>
      <c r="G19" s="2"/>
      <c r="H19" s="32"/>
    </row>
    <row r="20" spans="1:10" x14ac:dyDescent="0.25">
      <c r="A20" s="213">
        <v>10000</v>
      </c>
      <c r="B20" s="213"/>
      <c r="C20" s="56">
        <v>684.43804034582126</v>
      </c>
      <c r="D20" s="56">
        <v>532.51121076233176</v>
      </c>
      <c r="E20" s="56">
        <v>435.77981651376138</v>
      </c>
      <c r="F20" s="56">
        <v>368.78881987577643</v>
      </c>
      <c r="G20" s="2"/>
      <c r="H20" s="32"/>
    </row>
    <row r="22" spans="1:10" x14ac:dyDescent="0.25">
      <c r="A22" s="3" t="s">
        <v>58</v>
      </c>
      <c r="B22" s="203"/>
      <c r="C22" s="203"/>
      <c r="D22" s="203"/>
      <c r="E22" s="4" t="s">
        <v>130</v>
      </c>
      <c r="F22" s="4"/>
      <c r="G22" s="4"/>
      <c r="H22" s="4"/>
      <c r="I22" s="4"/>
      <c r="J22" s="5"/>
    </row>
    <row r="23" spans="1:10" x14ac:dyDescent="0.25">
      <c r="A23" s="3" t="s">
        <v>109</v>
      </c>
      <c r="B23" s="4"/>
      <c r="C23" s="4"/>
      <c r="D23" s="4"/>
      <c r="E23" s="150">
        <v>0</v>
      </c>
      <c r="F23" s="4" t="s">
        <v>110</v>
      </c>
      <c r="G23" s="4"/>
      <c r="H23" s="4"/>
      <c r="I23" s="4"/>
      <c r="J23" s="5"/>
    </row>
    <row r="24" spans="1:10" x14ac:dyDescent="0.25">
      <c r="A24" s="3" t="s">
        <v>111</v>
      </c>
      <c r="B24" s="4"/>
      <c r="C24" s="4"/>
      <c r="D24" s="4"/>
      <c r="E24" s="150">
        <v>0</v>
      </c>
      <c r="F24" s="4" t="s">
        <v>115</v>
      </c>
      <c r="G24" s="4"/>
      <c r="H24" s="4"/>
      <c r="I24" s="4"/>
      <c r="J24" s="5"/>
    </row>
    <row r="25" spans="1:10" x14ac:dyDescent="0.25">
      <c r="A25" s="3" t="s">
        <v>99</v>
      </c>
      <c r="B25" s="12"/>
      <c r="C25" s="12"/>
      <c r="D25" s="4"/>
      <c r="E25" s="26">
        <f>IF(E23*E24&lt;=10000,E23*E24,"Not Allowed")</f>
        <v>0</v>
      </c>
      <c r="F25" s="4" t="s">
        <v>131</v>
      </c>
      <c r="G25" s="4"/>
      <c r="H25" s="4"/>
      <c r="I25" s="4"/>
      <c r="J25" s="5"/>
    </row>
    <row r="26" spans="1:10" x14ac:dyDescent="0.25">
      <c r="A26" s="6" t="s">
        <v>135</v>
      </c>
      <c r="B26" s="7"/>
      <c r="C26" s="7"/>
      <c r="D26" s="8"/>
      <c r="E26" s="123">
        <v>24</v>
      </c>
      <c r="F26" s="8" t="s">
        <v>136</v>
      </c>
      <c r="G26" s="8"/>
      <c r="H26" s="8"/>
      <c r="I26" s="8"/>
      <c r="J26" s="9"/>
    </row>
    <row r="27" spans="1:10" x14ac:dyDescent="0.25">
      <c r="A27" s="6" t="s">
        <v>134</v>
      </c>
      <c r="B27" s="7"/>
      <c r="C27" s="7"/>
      <c r="D27" s="8"/>
      <c r="E27" s="123">
        <v>18</v>
      </c>
      <c r="F27" s="8" t="s">
        <v>137</v>
      </c>
      <c r="G27" s="8"/>
      <c r="H27" s="8"/>
      <c r="I27" s="8"/>
      <c r="J27" s="9"/>
    </row>
    <row r="28" spans="1:10" x14ac:dyDescent="0.25">
      <c r="A28" s="6" t="s">
        <v>68</v>
      </c>
      <c r="B28" s="7"/>
      <c r="C28" s="7"/>
      <c r="D28" s="8"/>
      <c r="E28" s="157">
        <v>0.5</v>
      </c>
      <c r="F28" s="8" t="s">
        <v>69</v>
      </c>
      <c r="G28" s="8"/>
      <c r="H28" s="8"/>
      <c r="I28" s="8"/>
      <c r="J28" s="9"/>
    </row>
    <row r="29" spans="1:10" x14ac:dyDescent="0.25">
      <c r="A29" s="6" t="s">
        <v>112</v>
      </c>
      <c r="B29" s="7"/>
      <c r="C29" s="7"/>
      <c r="D29" s="8"/>
      <c r="E29" s="8"/>
      <c r="F29" s="8"/>
      <c r="G29" s="8"/>
      <c r="H29" s="8"/>
      <c r="I29" s="8"/>
      <c r="J29" s="9"/>
    </row>
    <row r="30" spans="1:10" hidden="1" x14ac:dyDescent="0.25">
      <c r="A30" s="20" t="s">
        <v>123</v>
      </c>
      <c r="B30" s="21"/>
      <c r="C30" s="21"/>
      <c r="D30" s="15"/>
      <c r="E30" s="15"/>
      <c r="F30" s="15"/>
      <c r="G30" s="29">
        <f>((1*(0.05+0.009*100)*(E25/43560))/12)*43560</f>
        <v>0</v>
      </c>
      <c r="H30" s="15" t="s">
        <v>124</v>
      </c>
      <c r="I30" s="15"/>
      <c r="J30" s="16"/>
    </row>
    <row r="31" spans="1:10" x14ac:dyDescent="0.25">
      <c r="A31" s="20" t="s">
        <v>133</v>
      </c>
      <c r="B31" s="21"/>
      <c r="C31" s="21"/>
      <c r="D31" s="15"/>
      <c r="E31" s="15"/>
      <c r="F31" s="15"/>
      <c r="G31" s="29">
        <f>(G30/((0.33*(E27/12))+(E28*2/12)))/(E26/12)</f>
        <v>0</v>
      </c>
      <c r="H31" s="15" t="s">
        <v>82</v>
      </c>
      <c r="I31" s="22"/>
      <c r="J31" s="16"/>
    </row>
    <row r="32" spans="1:10" x14ac:dyDescent="0.25">
      <c r="A32" s="20"/>
      <c r="B32" s="21" t="s">
        <v>138</v>
      </c>
      <c r="C32" s="21"/>
      <c r="D32" s="15"/>
      <c r="E32" s="15"/>
      <c r="F32" s="15"/>
      <c r="G32" s="35">
        <f>(E26/12)</f>
        <v>2</v>
      </c>
      <c r="H32" s="15" t="s">
        <v>82</v>
      </c>
      <c r="I32" s="22"/>
      <c r="J32" s="16"/>
    </row>
    <row r="33" spans="1:10" x14ac:dyDescent="0.25">
      <c r="A33" s="20"/>
      <c r="B33" s="21" t="s">
        <v>140</v>
      </c>
      <c r="C33" s="21"/>
      <c r="D33" s="15"/>
      <c r="E33" s="15"/>
      <c r="F33" s="15"/>
      <c r="G33" s="35">
        <f>E27/12</f>
        <v>1.5</v>
      </c>
      <c r="H33" s="15" t="s">
        <v>82</v>
      </c>
      <c r="I33" s="22"/>
      <c r="J33" s="16"/>
    </row>
    <row r="34" spans="1:10" x14ac:dyDescent="0.25">
      <c r="A34" s="25"/>
      <c r="B34" s="23" t="s">
        <v>139</v>
      </c>
      <c r="C34" s="23"/>
      <c r="D34" s="11"/>
      <c r="E34" s="11"/>
      <c r="F34" s="11"/>
      <c r="G34" s="37">
        <f>(G31*G32*G33)*0.037037037</f>
        <v>0</v>
      </c>
      <c r="H34" s="11" t="s">
        <v>25</v>
      </c>
      <c r="I34" s="11"/>
      <c r="J34" s="14"/>
    </row>
    <row r="35" spans="1:10" x14ac:dyDescent="0.25">
      <c r="A35" s="21"/>
      <c r="B35" s="21"/>
      <c r="C35" s="21"/>
      <c r="D35" s="15"/>
      <c r="E35" s="15"/>
      <c r="F35" s="15"/>
      <c r="G35" s="36"/>
      <c r="H35" s="15"/>
      <c r="I35" s="15"/>
      <c r="J35" s="15"/>
    </row>
    <row r="36" spans="1:10" x14ac:dyDescent="0.25">
      <c r="A36" s="3" t="s">
        <v>58</v>
      </c>
      <c r="B36" s="203"/>
      <c r="C36" s="203"/>
      <c r="D36" s="203"/>
      <c r="E36" s="4" t="s">
        <v>130</v>
      </c>
      <c r="F36" s="4"/>
      <c r="G36" s="4"/>
      <c r="H36" s="4"/>
      <c r="I36" s="4"/>
      <c r="J36" s="5"/>
    </row>
    <row r="37" spans="1:10" x14ac:dyDescent="0.25">
      <c r="A37" s="3" t="s">
        <v>109</v>
      </c>
      <c r="B37" s="4"/>
      <c r="C37" s="4"/>
      <c r="D37" s="4"/>
      <c r="E37" s="150">
        <v>0</v>
      </c>
      <c r="F37" s="4" t="s">
        <v>110</v>
      </c>
      <c r="G37" s="4"/>
      <c r="H37" s="4"/>
      <c r="I37" s="4"/>
      <c r="J37" s="5"/>
    </row>
    <row r="38" spans="1:10" x14ac:dyDescent="0.25">
      <c r="A38" s="3" t="s">
        <v>111</v>
      </c>
      <c r="B38" s="4"/>
      <c r="C38" s="4"/>
      <c r="D38" s="4"/>
      <c r="E38" s="150">
        <v>0</v>
      </c>
      <c r="F38" s="4" t="s">
        <v>115</v>
      </c>
      <c r="G38" s="4"/>
      <c r="H38" s="4"/>
      <c r="I38" s="4"/>
      <c r="J38" s="5"/>
    </row>
    <row r="39" spans="1:10" x14ac:dyDescent="0.25">
      <c r="A39" s="3" t="s">
        <v>99</v>
      </c>
      <c r="B39" s="12"/>
      <c r="C39" s="12"/>
      <c r="D39" s="4"/>
      <c r="E39" s="26">
        <f>IF(E37*E38&lt;=10000,E37*E38,"Not Allowed")</f>
        <v>0</v>
      </c>
      <c r="F39" s="4" t="s">
        <v>131</v>
      </c>
      <c r="G39" s="4"/>
      <c r="H39" s="4"/>
      <c r="I39" s="4"/>
      <c r="J39" s="5"/>
    </row>
    <row r="40" spans="1:10" x14ac:dyDescent="0.25">
      <c r="A40" s="6" t="s">
        <v>135</v>
      </c>
      <c r="B40" s="7"/>
      <c r="C40" s="7"/>
      <c r="D40" s="8"/>
      <c r="E40" s="123">
        <v>24</v>
      </c>
      <c r="F40" s="8" t="s">
        <v>136</v>
      </c>
      <c r="G40" s="8"/>
      <c r="H40" s="8"/>
      <c r="I40" s="8"/>
      <c r="J40" s="9"/>
    </row>
    <row r="41" spans="1:10" x14ac:dyDescent="0.25">
      <c r="A41" s="6" t="s">
        <v>134</v>
      </c>
      <c r="B41" s="7"/>
      <c r="C41" s="7"/>
      <c r="D41" s="8"/>
      <c r="E41" s="123">
        <v>18</v>
      </c>
      <c r="F41" s="8" t="s">
        <v>137</v>
      </c>
      <c r="G41" s="8"/>
      <c r="H41" s="8"/>
      <c r="I41" s="8"/>
      <c r="J41" s="9"/>
    </row>
    <row r="42" spans="1:10" x14ac:dyDescent="0.25">
      <c r="A42" s="6" t="s">
        <v>68</v>
      </c>
      <c r="B42" s="7"/>
      <c r="C42" s="7"/>
      <c r="D42" s="8"/>
      <c r="E42" s="157">
        <v>0.5</v>
      </c>
      <c r="F42" s="8" t="s">
        <v>69</v>
      </c>
      <c r="G42" s="8"/>
      <c r="H42" s="8"/>
      <c r="I42" s="8"/>
      <c r="J42" s="9"/>
    </row>
    <row r="43" spans="1:10" x14ac:dyDescent="0.25">
      <c r="A43" s="6" t="s">
        <v>112</v>
      </c>
      <c r="B43" s="7"/>
      <c r="C43" s="7"/>
      <c r="D43" s="8"/>
      <c r="E43" s="8"/>
      <c r="F43" s="8"/>
      <c r="G43" s="8"/>
      <c r="H43" s="8"/>
      <c r="I43" s="8"/>
      <c r="J43" s="9"/>
    </row>
    <row r="44" spans="1:10" x14ac:dyDescent="0.25">
      <c r="A44" s="20" t="s">
        <v>123</v>
      </c>
      <c r="B44" s="21"/>
      <c r="C44" s="21"/>
      <c r="D44" s="15"/>
      <c r="E44" s="15"/>
      <c r="F44" s="15"/>
      <c r="G44" s="29">
        <f>((1*(0.05+0.009*100)*(E39/43560))/12)*43560</f>
        <v>0</v>
      </c>
      <c r="H44" s="15" t="s">
        <v>124</v>
      </c>
      <c r="I44" s="15"/>
      <c r="J44" s="16"/>
    </row>
    <row r="45" spans="1:10" x14ac:dyDescent="0.25">
      <c r="A45" s="20" t="s">
        <v>133</v>
      </c>
      <c r="B45" s="21"/>
      <c r="C45" s="21"/>
      <c r="D45" s="15"/>
      <c r="E45" s="15"/>
      <c r="F45" s="15"/>
      <c r="G45" s="29">
        <f>(G44/((0.33*(E41/12))+(E42*2/12)))/(E40/12)</f>
        <v>0</v>
      </c>
      <c r="H45" s="15" t="s">
        <v>82</v>
      </c>
      <c r="I45" s="22"/>
      <c r="J45" s="16"/>
    </row>
    <row r="46" spans="1:10" x14ac:dyDescent="0.25">
      <c r="A46" s="20"/>
      <c r="B46" s="21" t="s">
        <v>138</v>
      </c>
      <c r="C46" s="21"/>
      <c r="D46" s="15"/>
      <c r="E46" s="15"/>
      <c r="F46" s="15"/>
      <c r="G46" s="35">
        <f>(E40/12)</f>
        <v>2</v>
      </c>
      <c r="H46" s="15" t="s">
        <v>82</v>
      </c>
      <c r="I46" s="22"/>
      <c r="J46" s="16"/>
    </row>
    <row r="47" spans="1:10" x14ac:dyDescent="0.25">
      <c r="A47" s="20"/>
      <c r="B47" s="21" t="s">
        <v>140</v>
      </c>
      <c r="C47" s="21"/>
      <c r="D47" s="15"/>
      <c r="E47" s="15"/>
      <c r="F47" s="15"/>
      <c r="G47" s="35">
        <f>E41/12</f>
        <v>1.5</v>
      </c>
      <c r="H47" s="15" t="s">
        <v>82</v>
      </c>
      <c r="I47" s="22"/>
      <c r="J47" s="16"/>
    </row>
    <row r="48" spans="1:10" x14ac:dyDescent="0.25">
      <c r="A48" s="25"/>
      <c r="B48" s="23" t="s">
        <v>139</v>
      </c>
      <c r="C48" s="23"/>
      <c r="D48" s="11"/>
      <c r="E48" s="11"/>
      <c r="F48" s="11"/>
      <c r="G48" s="37">
        <f>(G45*G46*G47)*0.037037037</f>
        <v>0</v>
      </c>
      <c r="H48" s="11" t="s">
        <v>25</v>
      </c>
      <c r="I48" s="11"/>
      <c r="J48" s="14"/>
    </row>
    <row r="49" spans="1:10" ht="7.5" customHeight="1" x14ac:dyDescent="0.25"/>
    <row r="50" spans="1:10" ht="30" customHeight="1" x14ac:dyDescent="0.25">
      <c r="A50" s="192" t="s">
        <v>249</v>
      </c>
      <c r="B50" s="193"/>
      <c r="C50" s="193"/>
      <c r="D50" s="193"/>
      <c r="E50" s="193"/>
      <c r="F50" s="193"/>
      <c r="G50" s="193"/>
      <c r="H50" s="63">
        <f>E25+E39</f>
        <v>0</v>
      </c>
      <c r="I50" s="61" t="s">
        <v>13</v>
      </c>
      <c r="J50" s="41"/>
    </row>
  </sheetData>
  <sheetProtection sheet="1" objects="1" scenarios="1" selectLockedCells="1"/>
  <mergeCells count="17">
    <mergeCell ref="A2:J2"/>
    <mergeCell ref="A1:J1"/>
    <mergeCell ref="A9:B11"/>
    <mergeCell ref="A17:B17"/>
    <mergeCell ref="A18:B18"/>
    <mergeCell ref="A50:G50"/>
    <mergeCell ref="A19:B19"/>
    <mergeCell ref="A20:B20"/>
    <mergeCell ref="C9:F9"/>
    <mergeCell ref="C11:F11"/>
    <mergeCell ref="A12:B12"/>
    <mergeCell ref="A13:B13"/>
    <mergeCell ref="A14:B14"/>
    <mergeCell ref="A15:B15"/>
    <mergeCell ref="A16:B16"/>
    <mergeCell ref="B22:D22"/>
    <mergeCell ref="B36:D36"/>
  </mergeCells>
  <pageMargins left="0.5" right="0.5" top="0.5" bottom="0.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zoomScaleNormal="100" workbookViewId="0">
      <selection activeCell="B10" sqref="B10:D10"/>
    </sheetView>
  </sheetViews>
  <sheetFormatPr defaultRowHeight="15" x14ac:dyDescent="0.25"/>
  <cols>
    <col min="1" max="2" width="9.140625" style="1"/>
    <col min="3" max="3" width="5.140625" style="1" customWidth="1"/>
    <col min="4" max="4" width="10" style="1" customWidth="1"/>
    <col min="5" max="5" width="9.140625" style="1"/>
    <col min="6" max="6" width="9.140625" style="1" customWidth="1"/>
    <col min="7" max="7" width="10" style="1" customWidth="1"/>
    <col min="8" max="8" width="9.140625" style="1"/>
    <col min="9" max="9" width="8.5703125" style="1" customWidth="1"/>
    <col min="10" max="10" width="10.5703125" style="1" customWidth="1"/>
    <col min="11" max="11" width="9.140625" style="1"/>
    <col min="12" max="12" width="10.42578125" style="1" bestFit="1" customWidth="1"/>
    <col min="13" max="13" width="9.140625" style="1"/>
    <col min="14" max="14" width="25.28515625" style="1" customWidth="1"/>
    <col min="15" max="16" width="9.140625" style="1"/>
    <col min="17" max="17" width="17.5703125" style="1" customWidth="1"/>
    <col min="18" max="18" width="23.28515625" style="1" customWidth="1"/>
    <col min="19" max="19" width="25.42578125" style="1" customWidth="1"/>
    <col min="20" max="16384" width="9.140625" style="1"/>
  </cols>
  <sheetData>
    <row r="1" spans="1:10" x14ac:dyDescent="0.25">
      <c r="A1" s="164" t="s">
        <v>33</v>
      </c>
      <c r="B1" s="164"/>
      <c r="C1" s="164"/>
      <c r="D1" s="164"/>
      <c r="E1" s="164"/>
      <c r="F1" s="164"/>
      <c r="G1" s="164"/>
      <c r="H1" s="164"/>
      <c r="I1" s="164"/>
      <c r="J1" s="164"/>
    </row>
    <row r="2" spans="1:10" x14ac:dyDescent="0.25">
      <c r="A2" s="164" t="s">
        <v>141</v>
      </c>
      <c r="B2" s="164"/>
      <c r="C2" s="164"/>
      <c r="D2" s="164"/>
      <c r="E2" s="164"/>
      <c r="F2" s="164"/>
      <c r="G2" s="164"/>
      <c r="H2" s="164"/>
      <c r="I2" s="164"/>
      <c r="J2" s="164"/>
    </row>
    <row r="3" spans="1:10" ht="7.5" customHeight="1" x14ac:dyDescent="0.25"/>
    <row r="4" spans="1:10" x14ac:dyDescent="0.25">
      <c r="A4" s="195" t="s">
        <v>30</v>
      </c>
      <c r="B4" s="195"/>
      <c r="C4" s="195"/>
      <c r="D4" s="196" t="str">
        <f>'1-Project Information'!C4</f>
        <v>BETA-001</v>
      </c>
      <c r="E4" s="196"/>
      <c r="F4" s="196"/>
      <c r="G4" s="196"/>
      <c r="H4" s="196"/>
      <c r="I4" s="196"/>
      <c r="J4" s="196"/>
    </row>
    <row r="5" spans="1:10" x14ac:dyDescent="0.25">
      <c r="A5" s="195" t="s">
        <v>35</v>
      </c>
      <c r="B5" s="195"/>
      <c r="C5" s="195"/>
      <c r="D5" s="197">
        <f>'1-Project Information'!C5</f>
        <v>42278</v>
      </c>
      <c r="E5" s="197"/>
      <c r="F5" s="197"/>
      <c r="G5" s="197"/>
      <c r="H5" s="197"/>
      <c r="I5" s="197"/>
      <c r="J5" s="197"/>
    </row>
    <row r="6" spans="1:10" ht="7.5" customHeight="1" x14ac:dyDescent="0.25">
      <c r="A6" s="33"/>
      <c r="B6" s="32"/>
      <c r="C6" s="32"/>
      <c r="D6" s="32"/>
      <c r="E6" s="32"/>
      <c r="G6" s="2"/>
      <c r="H6" s="34"/>
    </row>
    <row r="7" spans="1:10" x14ac:dyDescent="0.25">
      <c r="A7" s="57" t="s">
        <v>186</v>
      </c>
      <c r="B7" s="32"/>
      <c r="C7" s="32"/>
      <c r="D7" s="32"/>
      <c r="E7" s="32"/>
      <c r="G7" s="2"/>
      <c r="H7" s="34"/>
    </row>
    <row r="8" spans="1:10" x14ac:dyDescent="0.25">
      <c r="A8" s="1" t="s">
        <v>259</v>
      </c>
      <c r="B8" s="32"/>
      <c r="C8" s="32"/>
      <c r="D8" s="32"/>
      <c r="E8" s="32"/>
      <c r="G8" s="2"/>
      <c r="H8" s="34"/>
    </row>
    <row r="9" spans="1:10" ht="7.5" customHeight="1" x14ac:dyDescent="0.25"/>
    <row r="10" spans="1:10" x14ac:dyDescent="0.25">
      <c r="A10" s="3" t="s">
        <v>58</v>
      </c>
      <c r="B10" s="203"/>
      <c r="C10" s="203"/>
      <c r="D10" s="203"/>
      <c r="E10" s="4"/>
      <c r="F10" s="4"/>
      <c r="G10" s="4"/>
      <c r="H10" s="4"/>
      <c r="I10" s="4"/>
      <c r="J10" s="5"/>
    </row>
    <row r="11" spans="1:10" x14ac:dyDescent="0.25">
      <c r="A11" s="3" t="s">
        <v>143</v>
      </c>
      <c r="B11" s="4"/>
      <c r="C11" s="4"/>
      <c r="D11" s="4"/>
      <c r="E11" s="150">
        <v>0</v>
      </c>
      <c r="F11" s="4" t="s">
        <v>110</v>
      </c>
      <c r="G11" s="4"/>
      <c r="H11" s="4"/>
      <c r="I11" s="4"/>
      <c r="J11" s="5"/>
    </row>
    <row r="12" spans="1:10" x14ac:dyDescent="0.25">
      <c r="A12" s="3" t="s">
        <v>144</v>
      </c>
      <c r="B12" s="4"/>
      <c r="C12" s="4"/>
      <c r="D12" s="4"/>
      <c r="E12" s="150">
        <v>0</v>
      </c>
      <c r="F12" s="4" t="s">
        <v>115</v>
      </c>
      <c r="G12" s="4"/>
      <c r="H12" s="4"/>
      <c r="I12" s="4"/>
      <c r="J12" s="5"/>
    </row>
    <row r="13" spans="1:10" x14ac:dyDescent="0.25">
      <c r="A13" s="3" t="s">
        <v>145</v>
      </c>
      <c r="B13" s="12"/>
      <c r="C13" s="12"/>
      <c r="D13" s="4"/>
      <c r="E13" s="26">
        <f>IF(E11*E12&lt;=10000,E11*E12,"Not Allowed")</f>
        <v>0</v>
      </c>
      <c r="F13" s="4" t="s">
        <v>238</v>
      </c>
      <c r="G13" s="4"/>
      <c r="H13" s="4"/>
      <c r="I13" s="4"/>
      <c r="J13" s="5"/>
    </row>
    <row r="14" spans="1:10" x14ac:dyDescent="0.25">
      <c r="A14" s="6" t="s">
        <v>142</v>
      </c>
      <c r="B14" s="7"/>
      <c r="C14" s="7"/>
      <c r="D14" s="8"/>
      <c r="E14" s="161">
        <v>5</v>
      </c>
      <c r="F14" s="8" t="s">
        <v>151</v>
      </c>
      <c r="G14" s="8"/>
      <c r="H14" s="8"/>
      <c r="I14" s="8"/>
      <c r="J14" s="9"/>
    </row>
    <row r="15" spans="1:10" x14ac:dyDescent="0.25">
      <c r="A15" s="6" t="s">
        <v>68</v>
      </c>
      <c r="B15" s="7"/>
      <c r="C15" s="7"/>
      <c r="D15" s="8"/>
      <c r="E15" s="157">
        <v>0.5</v>
      </c>
      <c r="F15" s="8" t="s">
        <v>152</v>
      </c>
      <c r="G15" s="8"/>
      <c r="H15" s="8"/>
      <c r="I15" s="8"/>
      <c r="J15" s="9"/>
    </row>
    <row r="16" spans="1:10" x14ac:dyDescent="0.25">
      <c r="A16" s="6" t="s">
        <v>112</v>
      </c>
      <c r="B16" s="7"/>
      <c r="C16" s="7"/>
      <c r="D16" s="8"/>
      <c r="E16" s="8"/>
      <c r="F16" s="8"/>
      <c r="G16" s="8"/>
      <c r="H16" s="8"/>
      <c r="I16" s="8"/>
      <c r="J16" s="9"/>
    </row>
    <row r="17" spans="1:10" hidden="1" x14ac:dyDescent="0.25">
      <c r="A17" s="20" t="s">
        <v>123</v>
      </c>
      <c r="B17" s="21"/>
      <c r="C17" s="21"/>
      <c r="D17" s="15"/>
      <c r="E17" s="15"/>
      <c r="F17" s="15"/>
      <c r="G17" s="29">
        <f>((1*(0.05+0.009*100)*(E13/43560))/12)*43560</f>
        <v>0</v>
      </c>
      <c r="H17" s="15" t="s">
        <v>124</v>
      </c>
      <c r="I17" s="15"/>
      <c r="J17" s="16"/>
    </row>
    <row r="18" spans="1:10" ht="27.75" customHeight="1" x14ac:dyDescent="0.25">
      <c r="A18" s="38" t="s">
        <v>146</v>
      </c>
      <c r="B18" s="21"/>
      <c r="C18" s="21"/>
      <c r="D18" s="15"/>
      <c r="E18" s="15"/>
      <c r="F18" s="15"/>
      <c r="G18" s="162">
        <v>3</v>
      </c>
      <c r="H18" s="223" t="s">
        <v>147</v>
      </c>
      <c r="I18" s="223"/>
      <c r="J18" s="224"/>
    </row>
    <row r="19" spans="1:10" x14ac:dyDescent="0.25">
      <c r="A19" s="20"/>
      <c r="B19" s="21" t="s">
        <v>148</v>
      </c>
      <c r="C19" s="21"/>
      <c r="D19" s="15"/>
      <c r="E19" s="15"/>
      <c r="F19" s="15"/>
      <c r="G19" s="35">
        <f>(E13*(G18/12))*0.037037037</f>
        <v>0</v>
      </c>
      <c r="H19" s="15" t="s">
        <v>25</v>
      </c>
      <c r="I19" s="15"/>
      <c r="J19" s="16"/>
    </row>
    <row r="20" spans="1:10" x14ac:dyDescent="0.25">
      <c r="A20" s="20" t="s">
        <v>237</v>
      </c>
      <c r="B20" s="21"/>
      <c r="C20" s="21"/>
      <c r="D20" s="15"/>
      <c r="E20" s="15"/>
      <c r="F20" s="15"/>
      <c r="G20" s="163">
        <v>6</v>
      </c>
      <c r="H20" s="15" t="s">
        <v>150</v>
      </c>
      <c r="I20" s="22"/>
      <c r="J20" s="16"/>
    </row>
    <row r="21" spans="1:10" x14ac:dyDescent="0.25">
      <c r="A21" s="25"/>
      <c r="B21" s="23" t="s">
        <v>149</v>
      </c>
      <c r="C21" s="23"/>
      <c r="D21" s="11"/>
      <c r="E21" s="11"/>
      <c r="F21" s="11"/>
      <c r="G21" s="17">
        <f>(E13*(G20/12))*0.037037037</f>
        <v>0</v>
      </c>
      <c r="H21" s="11" t="s">
        <v>25</v>
      </c>
      <c r="I21" s="11"/>
      <c r="J21" s="14"/>
    </row>
    <row r="22" spans="1:10" ht="7.5" customHeight="1" x14ac:dyDescent="0.25">
      <c r="A22" s="21"/>
      <c r="B22" s="21"/>
      <c r="C22" s="21"/>
      <c r="D22" s="15"/>
      <c r="E22" s="15"/>
      <c r="F22" s="15"/>
      <c r="G22" s="36"/>
      <c r="H22" s="15"/>
      <c r="I22" s="15"/>
      <c r="J22" s="15"/>
    </row>
    <row r="23" spans="1:10" x14ac:dyDescent="0.25">
      <c r="A23" s="3" t="s">
        <v>58</v>
      </c>
      <c r="B23" s="203"/>
      <c r="C23" s="203"/>
      <c r="D23" s="203"/>
      <c r="E23" s="4"/>
      <c r="F23" s="4"/>
      <c r="G23" s="4"/>
      <c r="H23" s="4"/>
      <c r="I23" s="4"/>
      <c r="J23" s="5"/>
    </row>
    <row r="24" spans="1:10" x14ac:dyDescent="0.25">
      <c r="A24" s="3" t="s">
        <v>143</v>
      </c>
      <c r="B24" s="4"/>
      <c r="C24" s="4"/>
      <c r="D24" s="4"/>
      <c r="E24" s="150">
        <v>0</v>
      </c>
      <c r="F24" s="4" t="s">
        <v>110</v>
      </c>
      <c r="G24" s="4"/>
      <c r="H24" s="4"/>
      <c r="I24" s="4"/>
      <c r="J24" s="5"/>
    </row>
    <row r="25" spans="1:10" x14ac:dyDescent="0.25">
      <c r="A25" s="3" t="s">
        <v>144</v>
      </c>
      <c r="B25" s="4"/>
      <c r="C25" s="4"/>
      <c r="D25" s="4"/>
      <c r="E25" s="150">
        <v>0</v>
      </c>
      <c r="F25" s="4" t="s">
        <v>115</v>
      </c>
      <c r="G25" s="4"/>
      <c r="H25" s="4"/>
      <c r="I25" s="4"/>
      <c r="J25" s="5"/>
    </row>
    <row r="26" spans="1:10" x14ac:dyDescent="0.25">
      <c r="A26" s="3" t="s">
        <v>145</v>
      </c>
      <c r="B26" s="12"/>
      <c r="C26" s="12"/>
      <c r="D26" s="4"/>
      <c r="E26" s="26">
        <f>IF(E24*E25&lt;=10000,E24*E25,"Not Allowed")</f>
        <v>0</v>
      </c>
      <c r="F26" s="4" t="s">
        <v>238</v>
      </c>
      <c r="G26" s="4"/>
      <c r="H26" s="4"/>
      <c r="I26" s="4"/>
      <c r="J26" s="5"/>
    </row>
    <row r="27" spans="1:10" x14ac:dyDescent="0.25">
      <c r="A27" s="6" t="s">
        <v>142</v>
      </c>
      <c r="B27" s="7"/>
      <c r="C27" s="7"/>
      <c r="D27" s="8"/>
      <c r="E27" s="161">
        <v>5</v>
      </c>
      <c r="F27" s="8" t="s">
        <v>151</v>
      </c>
      <c r="G27" s="8"/>
      <c r="H27" s="8"/>
      <c r="I27" s="8"/>
      <c r="J27" s="9"/>
    </row>
    <row r="28" spans="1:10" x14ac:dyDescent="0.25">
      <c r="A28" s="6" t="s">
        <v>68</v>
      </c>
      <c r="B28" s="7"/>
      <c r="C28" s="7"/>
      <c r="D28" s="8"/>
      <c r="E28" s="157">
        <v>0.5</v>
      </c>
      <c r="F28" s="8" t="s">
        <v>152</v>
      </c>
      <c r="G28" s="8"/>
      <c r="H28" s="8"/>
      <c r="I28" s="8"/>
      <c r="J28" s="9"/>
    </row>
    <row r="29" spans="1:10" x14ac:dyDescent="0.25">
      <c r="A29" s="6" t="s">
        <v>112</v>
      </c>
      <c r="B29" s="7"/>
      <c r="C29" s="7"/>
      <c r="D29" s="8"/>
      <c r="E29" s="8"/>
      <c r="F29" s="8"/>
      <c r="G29" s="8"/>
      <c r="H29" s="8"/>
      <c r="I29" s="8"/>
      <c r="J29" s="9"/>
    </row>
    <row r="30" spans="1:10" x14ac:dyDescent="0.25">
      <c r="A30" s="20" t="s">
        <v>123</v>
      </c>
      <c r="B30" s="21"/>
      <c r="C30" s="21"/>
      <c r="D30" s="15"/>
      <c r="E30" s="15"/>
      <c r="F30" s="15"/>
      <c r="G30" s="29">
        <f>((1*(0.05+0.009*100)*(E26/43560))/12)*43560</f>
        <v>0</v>
      </c>
      <c r="H30" s="15" t="s">
        <v>124</v>
      </c>
      <c r="I30" s="15"/>
      <c r="J30" s="16"/>
    </row>
    <row r="31" spans="1:10" x14ac:dyDescent="0.25">
      <c r="A31" s="38" t="s">
        <v>146</v>
      </c>
      <c r="B31" s="21"/>
      <c r="C31" s="21"/>
      <c r="D31" s="15"/>
      <c r="E31" s="15"/>
      <c r="F31" s="15"/>
      <c r="G31" s="162">
        <v>3</v>
      </c>
      <c r="H31" s="223" t="s">
        <v>258</v>
      </c>
      <c r="I31" s="223"/>
      <c r="J31" s="224"/>
    </row>
    <row r="32" spans="1:10" x14ac:dyDescent="0.25">
      <c r="A32" s="20"/>
      <c r="B32" s="21" t="s">
        <v>148</v>
      </c>
      <c r="C32" s="21"/>
      <c r="D32" s="15"/>
      <c r="E32" s="15"/>
      <c r="F32" s="15"/>
      <c r="G32" s="35">
        <f>(E26*(G31/12))*0.037037037</f>
        <v>0</v>
      </c>
      <c r="H32" s="15" t="s">
        <v>25</v>
      </c>
      <c r="I32" s="15"/>
      <c r="J32" s="16"/>
    </row>
    <row r="33" spans="1:10" x14ac:dyDescent="0.25">
      <c r="A33" s="20" t="s">
        <v>237</v>
      </c>
      <c r="B33" s="21"/>
      <c r="C33" s="21"/>
      <c r="D33" s="15"/>
      <c r="E33" s="15"/>
      <c r="F33" s="15"/>
      <c r="G33" s="163">
        <v>6</v>
      </c>
      <c r="H33" s="15" t="s">
        <v>150</v>
      </c>
      <c r="I33" s="22"/>
      <c r="J33" s="16"/>
    </row>
    <row r="34" spans="1:10" x14ac:dyDescent="0.25">
      <c r="A34" s="25"/>
      <c r="B34" s="23" t="s">
        <v>149</v>
      </c>
      <c r="C34" s="23"/>
      <c r="D34" s="11"/>
      <c r="E34" s="11"/>
      <c r="F34" s="11"/>
      <c r="G34" s="17">
        <f>(E26*(G33/12))*0.037037037</f>
        <v>0</v>
      </c>
      <c r="H34" s="11" t="s">
        <v>25</v>
      </c>
      <c r="I34" s="11"/>
      <c r="J34" s="14"/>
    </row>
    <row r="35" spans="1:10" ht="7.5" customHeight="1" x14ac:dyDescent="0.25"/>
    <row r="36" spans="1:10" x14ac:dyDescent="0.25">
      <c r="A36" s="3" t="s">
        <v>58</v>
      </c>
      <c r="B36" s="203"/>
      <c r="C36" s="203"/>
      <c r="D36" s="203"/>
      <c r="E36" s="4"/>
      <c r="F36" s="4"/>
      <c r="G36" s="4"/>
      <c r="H36" s="4"/>
      <c r="I36" s="4"/>
      <c r="J36" s="5"/>
    </row>
    <row r="37" spans="1:10" x14ac:dyDescent="0.25">
      <c r="A37" s="3" t="s">
        <v>143</v>
      </c>
      <c r="B37" s="4"/>
      <c r="C37" s="4"/>
      <c r="D37" s="4"/>
      <c r="E37" s="150">
        <v>0</v>
      </c>
      <c r="F37" s="4" t="s">
        <v>110</v>
      </c>
      <c r="G37" s="4"/>
      <c r="H37" s="4"/>
      <c r="I37" s="4"/>
      <c r="J37" s="5"/>
    </row>
    <row r="38" spans="1:10" x14ac:dyDescent="0.25">
      <c r="A38" s="3" t="s">
        <v>144</v>
      </c>
      <c r="B38" s="4"/>
      <c r="C38" s="4"/>
      <c r="D38" s="4"/>
      <c r="E38" s="150">
        <v>0</v>
      </c>
      <c r="F38" s="4" t="s">
        <v>115</v>
      </c>
      <c r="G38" s="4"/>
      <c r="H38" s="4"/>
      <c r="I38" s="4"/>
      <c r="J38" s="5"/>
    </row>
    <row r="39" spans="1:10" x14ac:dyDescent="0.25">
      <c r="A39" s="3" t="s">
        <v>145</v>
      </c>
      <c r="B39" s="12"/>
      <c r="C39" s="12"/>
      <c r="D39" s="4"/>
      <c r="E39" s="26">
        <f>IF(E37*E38&lt;=10000,E37*E38,"Not Allowed")</f>
        <v>0</v>
      </c>
      <c r="F39" s="4" t="s">
        <v>238</v>
      </c>
      <c r="G39" s="4"/>
      <c r="H39" s="4"/>
      <c r="I39" s="4"/>
      <c r="J39" s="5"/>
    </row>
    <row r="40" spans="1:10" x14ac:dyDescent="0.25">
      <c r="A40" s="6" t="s">
        <v>142</v>
      </c>
      <c r="B40" s="7"/>
      <c r="C40" s="7"/>
      <c r="D40" s="8"/>
      <c r="E40" s="161">
        <v>5</v>
      </c>
      <c r="F40" s="8" t="s">
        <v>151</v>
      </c>
      <c r="G40" s="8"/>
      <c r="H40" s="8"/>
      <c r="I40" s="8"/>
      <c r="J40" s="9"/>
    </row>
    <row r="41" spans="1:10" x14ac:dyDescent="0.25">
      <c r="A41" s="6" t="s">
        <v>68</v>
      </c>
      <c r="B41" s="7"/>
      <c r="C41" s="7"/>
      <c r="D41" s="8"/>
      <c r="E41" s="157">
        <v>0.5</v>
      </c>
      <c r="F41" s="8" t="s">
        <v>152</v>
      </c>
      <c r="G41" s="8"/>
      <c r="H41" s="8"/>
      <c r="I41" s="8"/>
      <c r="J41" s="9"/>
    </row>
    <row r="42" spans="1:10" x14ac:dyDescent="0.25">
      <c r="A42" s="6" t="s">
        <v>112</v>
      </c>
      <c r="B42" s="7"/>
      <c r="C42" s="7"/>
      <c r="D42" s="8"/>
      <c r="E42" s="8"/>
      <c r="F42" s="8"/>
      <c r="G42" s="8"/>
      <c r="H42" s="8"/>
      <c r="I42" s="8"/>
      <c r="J42" s="9"/>
    </row>
    <row r="43" spans="1:10" x14ac:dyDescent="0.25">
      <c r="A43" s="20" t="s">
        <v>123</v>
      </c>
      <c r="B43" s="21"/>
      <c r="C43" s="21"/>
      <c r="D43" s="15"/>
      <c r="E43" s="15"/>
      <c r="F43" s="15"/>
      <c r="G43" s="29">
        <f>((1*(0.05+0.009*100)*(E39/43560))/12)*43560</f>
        <v>0</v>
      </c>
      <c r="H43" s="15" t="s">
        <v>124</v>
      </c>
      <c r="I43" s="15"/>
      <c r="J43" s="16"/>
    </row>
    <row r="44" spans="1:10" ht="15" customHeight="1" x14ac:dyDescent="0.25">
      <c r="A44" s="38" t="s">
        <v>146</v>
      </c>
      <c r="B44" s="21"/>
      <c r="C44" s="21"/>
      <c r="D44" s="15"/>
      <c r="E44" s="15"/>
      <c r="F44" s="15"/>
      <c r="G44" s="162">
        <v>3</v>
      </c>
      <c r="H44" s="223" t="s">
        <v>258</v>
      </c>
      <c r="I44" s="223"/>
      <c r="J44" s="224"/>
    </row>
    <row r="45" spans="1:10" x14ac:dyDescent="0.25">
      <c r="A45" s="20"/>
      <c r="B45" s="21" t="s">
        <v>148</v>
      </c>
      <c r="C45" s="21"/>
      <c r="D45" s="15"/>
      <c r="E45" s="15"/>
      <c r="F45" s="15"/>
      <c r="G45" s="35">
        <f>(E39*(G44/12))*0.037037037</f>
        <v>0</v>
      </c>
      <c r="H45" s="15" t="s">
        <v>25</v>
      </c>
      <c r="I45" s="15"/>
      <c r="J45" s="16"/>
    </row>
    <row r="46" spans="1:10" x14ac:dyDescent="0.25">
      <c r="A46" s="20" t="s">
        <v>237</v>
      </c>
      <c r="B46" s="21"/>
      <c r="C46" s="21"/>
      <c r="D46" s="15"/>
      <c r="E46" s="15"/>
      <c r="F46" s="15"/>
      <c r="G46" s="163">
        <v>6</v>
      </c>
      <c r="H46" s="15" t="s">
        <v>150</v>
      </c>
      <c r="I46" s="22"/>
      <c r="J46" s="16"/>
    </row>
    <row r="47" spans="1:10" x14ac:dyDescent="0.25">
      <c r="A47" s="25"/>
      <c r="B47" s="23" t="s">
        <v>149</v>
      </c>
      <c r="C47" s="23"/>
      <c r="D47" s="11"/>
      <c r="E47" s="11"/>
      <c r="F47" s="11"/>
      <c r="G47" s="17">
        <f>(E39*(G46/12))*0.037037037</f>
        <v>0</v>
      </c>
      <c r="H47" s="11" t="s">
        <v>25</v>
      </c>
      <c r="I47" s="11"/>
      <c r="J47" s="14"/>
    </row>
    <row r="48" spans="1:10" ht="7.5" customHeight="1" x14ac:dyDescent="0.25"/>
    <row r="49" spans="1:10" ht="29.25" customHeight="1" x14ac:dyDescent="0.25">
      <c r="A49" s="192" t="s">
        <v>257</v>
      </c>
      <c r="B49" s="193"/>
      <c r="C49" s="193"/>
      <c r="D49" s="193"/>
      <c r="E49" s="193"/>
      <c r="F49" s="193"/>
      <c r="G49" s="193"/>
      <c r="H49" s="63">
        <f>E13+E26+E39</f>
        <v>0</v>
      </c>
      <c r="I49" s="61" t="s">
        <v>13</v>
      </c>
      <c r="J49" s="41"/>
    </row>
  </sheetData>
  <sheetProtection sheet="1" objects="1" scenarios="1" selectLockedCells="1"/>
  <mergeCells count="13">
    <mergeCell ref="A2:J2"/>
    <mergeCell ref="B10:D10"/>
    <mergeCell ref="H18:J18"/>
    <mergeCell ref="A1:J1"/>
    <mergeCell ref="A4:C4"/>
    <mergeCell ref="D4:J4"/>
    <mergeCell ref="A5:C5"/>
    <mergeCell ref="D5:J5"/>
    <mergeCell ref="A49:G49"/>
    <mergeCell ref="B23:D23"/>
    <mergeCell ref="H31:J31"/>
    <mergeCell ref="B36:D36"/>
    <mergeCell ref="H44:J4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election activeCell="C5" sqref="C5"/>
    </sheetView>
  </sheetViews>
  <sheetFormatPr defaultRowHeight="12.75" x14ac:dyDescent="0.2"/>
  <cols>
    <col min="1" max="1" width="44.140625" style="76" customWidth="1"/>
    <col min="2" max="2" width="2.42578125" style="76" customWidth="1"/>
    <col min="3" max="3" width="47.85546875" style="76" customWidth="1"/>
    <col min="4" max="12" width="9.140625" style="76"/>
    <col min="13" max="13" width="9.140625" style="76" customWidth="1"/>
    <col min="14" max="16384" width="9.140625" style="76"/>
  </cols>
  <sheetData>
    <row r="1" spans="1:3" ht="14.25" x14ac:dyDescent="0.25">
      <c r="A1" s="167" t="s">
        <v>33</v>
      </c>
      <c r="B1" s="167"/>
      <c r="C1" s="167"/>
    </row>
    <row r="2" spans="1:3" ht="14.25" x14ac:dyDescent="0.25">
      <c r="A2" s="167" t="s">
        <v>34</v>
      </c>
      <c r="B2" s="167"/>
      <c r="C2" s="167"/>
    </row>
    <row r="4" spans="1:3" ht="12.75" customHeight="1" x14ac:dyDescent="0.2">
      <c r="A4" s="77" t="s">
        <v>30</v>
      </c>
      <c r="B4" s="78"/>
      <c r="C4" s="69" t="s">
        <v>184</v>
      </c>
    </row>
    <row r="5" spans="1:3" x14ac:dyDescent="0.2">
      <c r="A5" s="77" t="s">
        <v>35</v>
      </c>
      <c r="B5" s="78"/>
      <c r="C5" s="70">
        <v>42278</v>
      </c>
    </row>
    <row r="6" spans="1:3" x14ac:dyDescent="0.2">
      <c r="A6" s="79" t="s">
        <v>31</v>
      </c>
      <c r="B6" s="80"/>
      <c r="C6" s="71"/>
    </row>
    <row r="7" spans="1:3" x14ac:dyDescent="0.2">
      <c r="A7" s="79" t="s">
        <v>36</v>
      </c>
      <c r="B7" s="80"/>
      <c r="C7" s="71"/>
    </row>
    <row r="8" spans="1:3" x14ac:dyDescent="0.2">
      <c r="A8" s="79" t="s">
        <v>37</v>
      </c>
      <c r="B8" s="80"/>
      <c r="C8" s="71"/>
    </row>
    <row r="9" spans="1:3" x14ac:dyDescent="0.2">
      <c r="A9" s="79" t="s">
        <v>38</v>
      </c>
      <c r="B9" s="80"/>
      <c r="C9" s="71"/>
    </row>
    <row r="10" spans="1:3" ht="25.5" x14ac:dyDescent="0.2">
      <c r="A10" s="79" t="s">
        <v>42</v>
      </c>
      <c r="B10" s="80"/>
      <c r="C10" s="71"/>
    </row>
    <row r="11" spans="1:3" ht="38.25" x14ac:dyDescent="0.2">
      <c r="A11" s="79" t="s">
        <v>39</v>
      </c>
      <c r="B11" s="80"/>
      <c r="C11" s="71"/>
    </row>
    <row r="12" spans="1:3" x14ac:dyDescent="0.2">
      <c r="A12" s="79" t="s">
        <v>32</v>
      </c>
      <c r="B12" s="80"/>
      <c r="C12" s="71"/>
    </row>
    <row r="13" spans="1:3" ht="38.25" x14ac:dyDescent="0.2">
      <c r="A13" s="79" t="s">
        <v>40</v>
      </c>
      <c r="B13" s="80"/>
      <c r="C13" s="71"/>
    </row>
    <row r="14" spans="1:3" ht="38.25" x14ac:dyDescent="0.2">
      <c r="A14" s="79" t="s">
        <v>41</v>
      </c>
      <c r="B14" s="80"/>
      <c r="C14" s="71"/>
    </row>
    <row r="15" spans="1:3" ht="51" x14ac:dyDescent="0.2">
      <c r="A15" s="79" t="s">
        <v>239</v>
      </c>
      <c r="B15" s="80"/>
      <c r="C15" s="71"/>
    </row>
    <row r="16" spans="1:3" ht="25.5" x14ac:dyDescent="0.2">
      <c r="A16" s="79" t="s">
        <v>182</v>
      </c>
      <c r="B16" s="80"/>
      <c r="C16" s="71"/>
    </row>
    <row r="17" spans="1:4" ht="25.5" x14ac:dyDescent="0.2">
      <c r="A17" s="79" t="s">
        <v>183</v>
      </c>
      <c r="B17" s="80"/>
      <c r="C17" s="71"/>
    </row>
    <row r="18" spans="1:4" x14ac:dyDescent="0.2">
      <c r="A18" s="81" t="s">
        <v>54</v>
      </c>
      <c r="B18" s="170"/>
      <c r="C18" s="82" t="s">
        <v>228</v>
      </c>
    </row>
    <row r="19" spans="1:4" x14ac:dyDescent="0.2">
      <c r="A19" s="168" t="s">
        <v>220</v>
      </c>
      <c r="B19" s="171"/>
      <c r="C19" s="173" t="s">
        <v>240</v>
      </c>
    </row>
    <row r="20" spans="1:4" ht="18.75" customHeight="1" x14ac:dyDescent="0.2">
      <c r="A20" s="169"/>
      <c r="B20" s="172"/>
      <c r="C20" s="174"/>
    </row>
    <row r="21" spans="1:4" x14ac:dyDescent="0.2">
      <c r="A21" s="83" t="s">
        <v>53</v>
      </c>
      <c r="B21" s="72" t="s">
        <v>55</v>
      </c>
      <c r="C21" s="75">
        <v>0</v>
      </c>
      <c r="D21" s="84"/>
    </row>
    <row r="22" spans="1:4" x14ac:dyDescent="0.2">
      <c r="A22" s="85" t="s">
        <v>44</v>
      </c>
      <c r="B22" s="73"/>
      <c r="C22" s="75">
        <v>0</v>
      </c>
    </row>
    <row r="23" spans="1:4" x14ac:dyDescent="0.2">
      <c r="A23" s="85" t="s">
        <v>45</v>
      </c>
      <c r="B23" s="73"/>
      <c r="C23" s="75">
        <v>0</v>
      </c>
      <c r="D23" s="84"/>
    </row>
    <row r="24" spans="1:4" x14ac:dyDescent="0.2">
      <c r="A24" s="85" t="s">
        <v>46</v>
      </c>
      <c r="B24" s="73"/>
      <c r="C24" s="75">
        <v>0</v>
      </c>
      <c r="D24" s="84"/>
    </row>
    <row r="25" spans="1:4" x14ac:dyDescent="0.2">
      <c r="A25" s="85" t="s">
        <v>47</v>
      </c>
      <c r="B25" s="73"/>
      <c r="C25" s="75">
        <v>0</v>
      </c>
      <c r="D25" s="84"/>
    </row>
    <row r="26" spans="1:4" x14ac:dyDescent="0.2">
      <c r="A26" s="85" t="s">
        <v>48</v>
      </c>
      <c r="B26" s="73"/>
      <c r="C26" s="75">
        <v>0</v>
      </c>
    </row>
    <row r="27" spans="1:4" x14ac:dyDescent="0.2">
      <c r="A27" s="85" t="s">
        <v>49</v>
      </c>
      <c r="B27" s="73"/>
      <c r="C27" s="75">
        <v>0</v>
      </c>
      <c r="D27" s="84"/>
    </row>
    <row r="28" spans="1:4" x14ac:dyDescent="0.2">
      <c r="A28" s="85" t="s">
        <v>50</v>
      </c>
      <c r="B28" s="73"/>
      <c r="C28" s="75">
        <v>0</v>
      </c>
      <c r="D28" s="84"/>
    </row>
    <row r="29" spans="1:4" x14ac:dyDescent="0.2">
      <c r="A29" s="85" t="s">
        <v>51</v>
      </c>
      <c r="B29" s="73"/>
      <c r="C29" s="75">
        <v>0</v>
      </c>
      <c r="D29" s="84"/>
    </row>
    <row r="30" spans="1:4" x14ac:dyDescent="0.2">
      <c r="A30" s="85" t="s">
        <v>52</v>
      </c>
      <c r="B30" s="73"/>
      <c r="C30" s="75">
        <v>0</v>
      </c>
      <c r="D30" s="84"/>
    </row>
    <row r="31" spans="1:4" x14ac:dyDescent="0.2">
      <c r="A31" s="86" t="s">
        <v>43</v>
      </c>
      <c r="B31" s="74"/>
    </row>
  </sheetData>
  <sheetProtection sheet="1" objects="1" scenarios="1" selectLockedCells="1"/>
  <mergeCells count="5">
    <mergeCell ref="A1:C1"/>
    <mergeCell ref="A2:C2"/>
    <mergeCell ref="A19:A20"/>
    <mergeCell ref="B18:B20"/>
    <mergeCell ref="C19:C20"/>
  </mergeCells>
  <pageMargins left="0.5" right="0.5" top="0.5" bottom="0.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showGridLines="0" workbookViewId="0">
      <selection activeCell="A16" sqref="A16"/>
    </sheetView>
  </sheetViews>
  <sheetFormatPr defaultRowHeight="12.75" x14ac:dyDescent="0.2"/>
  <cols>
    <col min="1" max="1" width="6.140625" style="92" customWidth="1"/>
    <col min="2" max="2" width="9.140625" style="92"/>
    <col min="3" max="3" width="9" style="92" customWidth="1"/>
    <col min="4" max="4" width="9.140625" style="92"/>
    <col min="5" max="5" width="2.5703125" style="92" customWidth="1"/>
    <col min="6" max="6" width="9" style="92" customWidth="1"/>
    <col min="7" max="7" width="9.140625" style="92"/>
    <col min="8" max="8" width="7.85546875" style="92" customWidth="1"/>
    <col min="9" max="9" width="8.85546875" style="92" customWidth="1"/>
    <col min="10" max="10" width="11.140625" style="92" customWidth="1"/>
    <col min="11" max="11" width="5.28515625" style="92" customWidth="1"/>
    <col min="12" max="12" width="8.28515625" style="92" customWidth="1"/>
    <col min="13" max="13" width="29.5703125" style="92" customWidth="1"/>
    <col min="14" max="14" width="28.42578125" style="92" customWidth="1"/>
    <col min="15" max="16384" width="9.140625" style="92"/>
  </cols>
  <sheetData>
    <row r="1" spans="1:12" ht="14.25" x14ac:dyDescent="0.25">
      <c r="A1" s="167" t="s">
        <v>33</v>
      </c>
      <c r="B1" s="167"/>
      <c r="C1" s="167"/>
      <c r="D1" s="167"/>
      <c r="E1" s="167"/>
      <c r="F1" s="167"/>
      <c r="G1" s="167"/>
      <c r="H1" s="167"/>
      <c r="I1" s="167"/>
      <c r="J1" s="167"/>
      <c r="K1" s="167"/>
      <c r="L1" s="167"/>
    </row>
    <row r="2" spans="1:12" ht="14.25" x14ac:dyDescent="0.25">
      <c r="A2" s="167" t="s">
        <v>29</v>
      </c>
      <c r="B2" s="167"/>
      <c r="C2" s="167"/>
      <c r="D2" s="167"/>
      <c r="E2" s="167"/>
      <c r="F2" s="167"/>
      <c r="G2" s="167"/>
      <c r="H2" s="167"/>
      <c r="I2" s="167"/>
      <c r="J2" s="167"/>
      <c r="K2" s="167"/>
      <c r="L2" s="167"/>
    </row>
    <row r="3" spans="1:12" ht="7.5" customHeight="1" x14ac:dyDescent="0.2">
      <c r="B3" s="76"/>
      <c r="C3" s="76"/>
      <c r="D3" s="76"/>
      <c r="E3" s="76"/>
      <c r="F3" s="76"/>
      <c r="G3" s="76"/>
      <c r="H3" s="76"/>
      <c r="I3" s="76"/>
      <c r="J3" s="76"/>
      <c r="K3" s="76"/>
      <c r="L3" s="76"/>
    </row>
    <row r="4" spans="1:12" ht="12.75" customHeight="1" x14ac:dyDescent="0.2">
      <c r="A4" s="189" t="s">
        <v>30</v>
      </c>
      <c r="B4" s="189"/>
      <c r="C4" s="189"/>
      <c r="D4" s="190" t="str">
        <f>'1-Project Information'!C4</f>
        <v>BETA-001</v>
      </c>
      <c r="E4" s="190"/>
      <c r="F4" s="190"/>
      <c r="G4" s="190"/>
      <c r="H4" s="190"/>
      <c r="I4" s="190"/>
      <c r="J4" s="190"/>
      <c r="K4" s="190"/>
      <c r="L4" s="190"/>
    </row>
    <row r="5" spans="1:12" x14ac:dyDescent="0.2">
      <c r="A5" s="189" t="s">
        <v>35</v>
      </c>
      <c r="B5" s="189"/>
      <c r="C5" s="189"/>
      <c r="D5" s="191">
        <f>'1-Project Information'!C5</f>
        <v>42278</v>
      </c>
      <c r="E5" s="191"/>
      <c r="F5" s="191"/>
      <c r="G5" s="191"/>
      <c r="H5" s="191"/>
      <c r="I5" s="191"/>
      <c r="J5" s="191"/>
      <c r="K5" s="191"/>
      <c r="L5" s="191"/>
    </row>
    <row r="6" spans="1:12" ht="7.5" customHeight="1" x14ac:dyDescent="0.2">
      <c r="A6" s="76"/>
      <c r="B6" s="76"/>
      <c r="C6" s="76"/>
      <c r="D6" s="76"/>
      <c r="E6" s="76"/>
      <c r="F6" s="76"/>
      <c r="G6" s="76"/>
      <c r="H6" s="76"/>
      <c r="I6" s="76"/>
      <c r="J6" s="76"/>
      <c r="K6" s="76"/>
      <c r="L6" s="76"/>
    </row>
    <row r="7" spans="1:12" ht="14.25" customHeight="1" x14ac:dyDescent="0.2">
      <c r="A7" s="93" t="s">
        <v>57</v>
      </c>
      <c r="B7" s="94"/>
      <c r="C7" s="184"/>
      <c r="D7" s="184"/>
      <c r="E7" s="95"/>
      <c r="F7" s="95"/>
      <c r="G7" s="95"/>
      <c r="H7" s="95"/>
      <c r="I7" s="95"/>
      <c r="J7" s="95"/>
      <c r="K7" s="95"/>
      <c r="L7" s="78"/>
    </row>
    <row r="8" spans="1:12" x14ac:dyDescent="0.2">
      <c r="A8" s="96" t="s">
        <v>3</v>
      </c>
      <c r="B8" s="97"/>
      <c r="C8" s="98"/>
      <c r="D8" s="87"/>
      <c r="E8" s="185" t="s">
        <v>9</v>
      </c>
      <c r="F8" s="185"/>
      <c r="G8" s="87"/>
      <c r="H8" s="98" t="s">
        <v>11</v>
      </c>
      <c r="I8" s="98"/>
      <c r="J8" s="98"/>
      <c r="K8" s="98"/>
      <c r="L8" s="99"/>
    </row>
    <row r="9" spans="1:12" x14ac:dyDescent="0.2">
      <c r="A9" s="100"/>
      <c r="B9" s="101"/>
      <c r="C9" s="101"/>
      <c r="D9" s="87"/>
      <c r="E9" s="186" t="s">
        <v>10</v>
      </c>
      <c r="F9" s="186"/>
      <c r="G9" s="87"/>
      <c r="H9" s="101" t="s">
        <v>12</v>
      </c>
      <c r="I9" s="187"/>
      <c r="J9" s="187"/>
      <c r="K9" s="187"/>
      <c r="L9" s="188"/>
    </row>
    <row r="10" spans="1:12" x14ac:dyDescent="0.2">
      <c r="A10" s="93" t="s">
        <v>4</v>
      </c>
      <c r="B10" s="102"/>
      <c r="C10" s="95"/>
      <c r="D10" s="88">
        <v>0</v>
      </c>
      <c r="E10" s="95" t="s">
        <v>13</v>
      </c>
      <c r="F10" s="95"/>
      <c r="G10" s="95"/>
      <c r="H10" s="95"/>
      <c r="I10" s="95"/>
      <c r="J10" s="95"/>
      <c r="K10" s="95"/>
      <c r="L10" s="78"/>
    </row>
    <row r="11" spans="1:12" ht="14.25" customHeight="1" x14ac:dyDescent="0.2">
      <c r="A11" s="96" t="s">
        <v>0</v>
      </c>
      <c r="B11" s="97"/>
      <c r="C11" s="99"/>
      <c r="D11" s="103"/>
      <c r="E11" s="98"/>
      <c r="F11" s="98"/>
      <c r="G11" s="98"/>
      <c r="H11" s="98"/>
      <c r="I11" s="98"/>
      <c r="J11" s="98"/>
      <c r="K11" s="98"/>
      <c r="L11" s="99"/>
    </row>
    <row r="12" spans="1:12" x14ac:dyDescent="0.2">
      <c r="A12" s="89"/>
      <c r="B12" s="104" t="s">
        <v>8</v>
      </c>
      <c r="C12" s="105"/>
      <c r="D12" s="89"/>
      <c r="E12" s="101" t="s">
        <v>14</v>
      </c>
      <c r="F12" s="101"/>
      <c r="G12" s="101"/>
      <c r="H12" s="101"/>
      <c r="I12" s="101"/>
      <c r="J12" s="101"/>
      <c r="K12" s="101"/>
      <c r="L12" s="106"/>
    </row>
    <row r="13" spans="1:12" ht="14.25" customHeight="1" x14ac:dyDescent="0.2">
      <c r="A13" s="96" t="s">
        <v>1</v>
      </c>
      <c r="B13" s="97"/>
      <c r="C13" s="98"/>
      <c r="D13" s="98"/>
      <c r="E13" s="98"/>
      <c r="F13" s="98"/>
      <c r="G13" s="98"/>
      <c r="H13" s="98"/>
      <c r="I13" s="98"/>
      <c r="J13" s="98"/>
      <c r="K13" s="98"/>
      <c r="L13" s="99"/>
    </row>
    <row r="14" spans="1:12" ht="15" customHeight="1" x14ac:dyDescent="0.2">
      <c r="A14" s="90"/>
      <c r="B14" s="98" t="s">
        <v>5</v>
      </c>
      <c r="C14" s="107"/>
      <c r="D14" s="90">
        <v>0</v>
      </c>
      <c r="E14" s="98" t="s">
        <v>15</v>
      </c>
      <c r="F14" s="98"/>
      <c r="G14" s="98"/>
      <c r="H14" s="98"/>
      <c r="I14" s="99"/>
      <c r="J14" s="103" t="s">
        <v>22</v>
      </c>
      <c r="K14" s="98"/>
      <c r="L14" s="99"/>
    </row>
    <row r="15" spans="1:12" x14ac:dyDescent="0.2">
      <c r="A15" s="90"/>
      <c r="B15" s="108" t="s">
        <v>6</v>
      </c>
      <c r="C15" s="109"/>
      <c r="D15" s="110"/>
      <c r="E15" s="111" t="s">
        <v>21</v>
      </c>
      <c r="F15" s="108"/>
      <c r="G15" s="108"/>
      <c r="H15" s="108"/>
      <c r="I15" s="112"/>
      <c r="J15" s="177"/>
      <c r="K15" s="178"/>
      <c r="L15" s="179"/>
    </row>
    <row r="16" spans="1:12" x14ac:dyDescent="0.2">
      <c r="A16" s="89"/>
      <c r="B16" s="108" t="s">
        <v>7</v>
      </c>
      <c r="C16" s="109"/>
      <c r="D16" s="113">
        <f>$D$14*3.1</f>
        <v>0</v>
      </c>
      <c r="E16" s="111" t="s">
        <v>16</v>
      </c>
      <c r="F16" s="108"/>
      <c r="G16" s="108"/>
      <c r="H16" s="108"/>
      <c r="I16" s="112"/>
      <c r="J16" s="177"/>
      <c r="K16" s="178"/>
      <c r="L16" s="179"/>
    </row>
    <row r="17" spans="1:12" x14ac:dyDescent="0.2">
      <c r="A17" s="110"/>
      <c r="B17" s="91"/>
      <c r="C17" s="112" t="s">
        <v>25</v>
      </c>
      <c r="D17" s="110"/>
      <c r="E17" s="111" t="s">
        <v>17</v>
      </c>
      <c r="F17" s="91">
        <v>1</v>
      </c>
      <c r="G17" s="108" t="s">
        <v>18</v>
      </c>
      <c r="H17" s="108"/>
      <c r="I17" s="112"/>
      <c r="J17" s="177"/>
      <c r="K17" s="178"/>
      <c r="L17" s="179"/>
    </row>
    <row r="18" spans="1:12" ht="25.5" customHeight="1" x14ac:dyDescent="0.2">
      <c r="A18" s="100"/>
      <c r="B18" s="101"/>
      <c r="C18" s="114" t="s">
        <v>26</v>
      </c>
      <c r="D18" s="115">
        <f>(($D$14/12)*$D$10)*0.037037037</f>
        <v>0</v>
      </c>
      <c r="E18" s="180" t="s">
        <v>27</v>
      </c>
      <c r="F18" s="180"/>
      <c r="G18" s="180"/>
      <c r="H18" s="180"/>
      <c r="I18" s="181"/>
      <c r="J18" s="100" t="s">
        <v>23</v>
      </c>
      <c r="K18" s="116">
        <f>D18</f>
        <v>0</v>
      </c>
      <c r="L18" s="106" t="s">
        <v>24</v>
      </c>
    </row>
    <row r="19" spans="1:12" x14ac:dyDescent="0.2">
      <c r="A19" s="96" t="s">
        <v>2</v>
      </c>
      <c r="B19" s="97"/>
      <c r="C19" s="99"/>
      <c r="D19" s="90">
        <v>0</v>
      </c>
      <c r="E19" s="98" t="s">
        <v>19</v>
      </c>
      <c r="F19" s="98"/>
      <c r="G19" s="98"/>
      <c r="H19" s="98"/>
      <c r="I19" s="99"/>
      <c r="J19" s="103" t="s">
        <v>22</v>
      </c>
      <c r="K19" s="182"/>
      <c r="L19" s="183"/>
    </row>
    <row r="20" spans="1:12" x14ac:dyDescent="0.2">
      <c r="A20" s="110"/>
      <c r="B20" s="108"/>
      <c r="C20" s="112"/>
      <c r="D20" s="110"/>
      <c r="E20" s="111" t="s">
        <v>28</v>
      </c>
      <c r="F20" s="108"/>
      <c r="G20" s="108"/>
      <c r="H20" s="108"/>
      <c r="I20" s="112"/>
      <c r="J20" s="110"/>
      <c r="K20" s="178"/>
      <c r="L20" s="179"/>
    </row>
    <row r="21" spans="1:12" x14ac:dyDescent="0.2">
      <c r="A21" s="100"/>
      <c r="B21" s="101"/>
      <c r="C21" s="106"/>
      <c r="D21" s="117">
        <f>D19*6.2</f>
        <v>0</v>
      </c>
      <c r="E21" s="118" t="s">
        <v>20</v>
      </c>
      <c r="F21" s="101"/>
      <c r="G21" s="101"/>
      <c r="H21" s="101"/>
      <c r="I21" s="106"/>
      <c r="J21" s="100" t="s">
        <v>23</v>
      </c>
      <c r="K21" s="116">
        <f>D21</f>
        <v>0</v>
      </c>
      <c r="L21" s="106" t="s">
        <v>24</v>
      </c>
    </row>
    <row r="22" spans="1:12" x14ac:dyDescent="0.2">
      <c r="A22" s="76"/>
      <c r="B22" s="76"/>
      <c r="C22" s="76"/>
      <c r="D22" s="76"/>
      <c r="E22" s="76"/>
      <c r="F22" s="76"/>
      <c r="G22" s="76"/>
      <c r="H22" s="76"/>
      <c r="I22" s="76"/>
      <c r="J22" s="76"/>
      <c r="K22" s="76"/>
      <c r="L22" s="76"/>
    </row>
    <row r="23" spans="1:12" x14ac:dyDescent="0.2">
      <c r="A23" s="93" t="s">
        <v>57</v>
      </c>
      <c r="B23" s="94"/>
      <c r="C23" s="184"/>
      <c r="D23" s="184"/>
      <c r="E23" s="95"/>
      <c r="F23" s="95"/>
      <c r="G23" s="95"/>
      <c r="H23" s="95"/>
      <c r="I23" s="95"/>
      <c r="J23" s="95"/>
      <c r="K23" s="95"/>
      <c r="L23" s="78"/>
    </row>
    <row r="24" spans="1:12" x14ac:dyDescent="0.2">
      <c r="A24" s="96" t="s">
        <v>3</v>
      </c>
      <c r="B24" s="97"/>
      <c r="C24" s="98"/>
      <c r="D24" s="87"/>
      <c r="E24" s="185" t="s">
        <v>9</v>
      </c>
      <c r="F24" s="185"/>
      <c r="G24" s="87"/>
      <c r="H24" s="98" t="s">
        <v>11</v>
      </c>
      <c r="I24" s="98"/>
      <c r="J24" s="98"/>
      <c r="K24" s="98"/>
      <c r="L24" s="99"/>
    </row>
    <row r="25" spans="1:12" x14ac:dyDescent="0.2">
      <c r="A25" s="100"/>
      <c r="B25" s="101"/>
      <c r="C25" s="101"/>
      <c r="D25" s="87"/>
      <c r="E25" s="186" t="s">
        <v>10</v>
      </c>
      <c r="F25" s="186"/>
      <c r="G25" s="87"/>
      <c r="H25" s="101" t="s">
        <v>12</v>
      </c>
      <c r="I25" s="187"/>
      <c r="J25" s="187"/>
      <c r="K25" s="187"/>
      <c r="L25" s="188"/>
    </row>
    <row r="26" spans="1:12" x14ac:dyDescent="0.2">
      <c r="A26" s="93" t="s">
        <v>4</v>
      </c>
      <c r="B26" s="102"/>
      <c r="C26" s="95"/>
      <c r="D26" s="88">
        <v>0</v>
      </c>
      <c r="E26" s="95" t="s">
        <v>13</v>
      </c>
      <c r="F26" s="95"/>
      <c r="G26" s="95"/>
      <c r="H26" s="95"/>
      <c r="I26" s="95"/>
      <c r="J26" s="95"/>
      <c r="K26" s="95"/>
      <c r="L26" s="78"/>
    </row>
    <row r="27" spans="1:12" x14ac:dyDescent="0.2">
      <c r="A27" s="96" t="s">
        <v>0</v>
      </c>
      <c r="B27" s="97"/>
      <c r="C27" s="99"/>
      <c r="D27" s="103"/>
      <c r="E27" s="98"/>
      <c r="F27" s="98"/>
      <c r="G27" s="98"/>
      <c r="H27" s="98"/>
      <c r="I27" s="98"/>
      <c r="J27" s="98"/>
      <c r="K27" s="98"/>
      <c r="L27" s="99"/>
    </row>
    <row r="28" spans="1:12" x14ac:dyDescent="0.2">
      <c r="A28" s="89"/>
      <c r="B28" s="104" t="s">
        <v>8</v>
      </c>
      <c r="C28" s="105"/>
      <c r="D28" s="89"/>
      <c r="E28" s="101" t="s">
        <v>14</v>
      </c>
      <c r="F28" s="101"/>
      <c r="G28" s="101"/>
      <c r="H28" s="101"/>
      <c r="I28" s="101"/>
      <c r="J28" s="101"/>
      <c r="K28" s="101"/>
      <c r="L28" s="106"/>
    </row>
    <row r="29" spans="1:12" x14ac:dyDescent="0.2">
      <c r="A29" s="96" t="s">
        <v>1</v>
      </c>
      <c r="B29" s="97"/>
      <c r="C29" s="98"/>
      <c r="D29" s="98"/>
      <c r="E29" s="98"/>
      <c r="F29" s="98"/>
      <c r="G29" s="98"/>
      <c r="H29" s="98"/>
      <c r="I29" s="98"/>
      <c r="J29" s="98"/>
      <c r="K29" s="98"/>
      <c r="L29" s="99"/>
    </row>
    <row r="30" spans="1:12" x14ac:dyDescent="0.2">
      <c r="A30" s="90"/>
      <c r="B30" s="98" t="s">
        <v>5</v>
      </c>
      <c r="C30" s="107"/>
      <c r="D30" s="90">
        <v>0</v>
      </c>
      <c r="E30" s="98" t="s">
        <v>15</v>
      </c>
      <c r="F30" s="98"/>
      <c r="G30" s="98"/>
      <c r="H30" s="98"/>
      <c r="I30" s="99"/>
      <c r="J30" s="103" t="s">
        <v>22</v>
      </c>
      <c r="K30" s="98"/>
      <c r="L30" s="99"/>
    </row>
    <row r="31" spans="1:12" x14ac:dyDescent="0.2">
      <c r="A31" s="90"/>
      <c r="B31" s="108" t="s">
        <v>6</v>
      </c>
      <c r="C31" s="109"/>
      <c r="D31" s="110"/>
      <c r="E31" s="111" t="s">
        <v>21</v>
      </c>
      <c r="F31" s="108"/>
      <c r="G31" s="108"/>
      <c r="H31" s="108"/>
      <c r="I31" s="112"/>
      <c r="J31" s="177"/>
      <c r="K31" s="178"/>
      <c r="L31" s="179"/>
    </row>
    <row r="32" spans="1:12" x14ac:dyDescent="0.2">
      <c r="A32" s="89"/>
      <c r="B32" s="108" t="s">
        <v>7</v>
      </c>
      <c r="C32" s="109"/>
      <c r="D32" s="113">
        <f>$D$30*3.1</f>
        <v>0</v>
      </c>
      <c r="E32" s="111" t="s">
        <v>16</v>
      </c>
      <c r="F32" s="108"/>
      <c r="G32" s="108"/>
      <c r="H32" s="108"/>
      <c r="I32" s="112"/>
      <c r="J32" s="177"/>
      <c r="K32" s="178"/>
      <c r="L32" s="179"/>
    </row>
    <row r="33" spans="1:12" x14ac:dyDescent="0.2">
      <c r="A33" s="110"/>
      <c r="B33" s="91"/>
      <c r="C33" s="112" t="s">
        <v>25</v>
      </c>
      <c r="D33" s="110"/>
      <c r="E33" s="111" t="s">
        <v>17</v>
      </c>
      <c r="F33" s="91">
        <v>1</v>
      </c>
      <c r="G33" s="108" t="s">
        <v>18</v>
      </c>
      <c r="H33" s="108"/>
      <c r="I33" s="112"/>
      <c r="J33" s="177"/>
      <c r="K33" s="178"/>
      <c r="L33" s="179"/>
    </row>
    <row r="34" spans="1:12" ht="27" customHeight="1" x14ac:dyDescent="0.2">
      <c r="A34" s="100"/>
      <c r="B34" s="101"/>
      <c r="C34" s="114" t="s">
        <v>26</v>
      </c>
      <c r="D34" s="115">
        <f>(($D$30/12)*$D$26)*0.037037037</f>
        <v>0</v>
      </c>
      <c r="E34" s="180" t="s">
        <v>27</v>
      </c>
      <c r="F34" s="180"/>
      <c r="G34" s="180"/>
      <c r="H34" s="180"/>
      <c r="I34" s="181"/>
      <c r="J34" s="100" t="s">
        <v>23</v>
      </c>
      <c r="K34" s="116">
        <f>D34</f>
        <v>0</v>
      </c>
      <c r="L34" s="106" t="s">
        <v>24</v>
      </c>
    </row>
    <row r="35" spans="1:12" x14ac:dyDescent="0.2">
      <c r="A35" s="96" t="s">
        <v>2</v>
      </c>
      <c r="B35" s="97"/>
      <c r="C35" s="99"/>
      <c r="D35" s="90">
        <v>0</v>
      </c>
      <c r="E35" s="98" t="s">
        <v>19</v>
      </c>
      <c r="F35" s="98"/>
      <c r="G35" s="98"/>
      <c r="H35" s="98"/>
      <c r="I35" s="99"/>
      <c r="J35" s="103" t="s">
        <v>22</v>
      </c>
      <c r="K35" s="182"/>
      <c r="L35" s="183"/>
    </row>
    <row r="36" spans="1:12" x14ac:dyDescent="0.2">
      <c r="A36" s="110"/>
      <c r="B36" s="108"/>
      <c r="C36" s="112"/>
      <c r="D36" s="110"/>
      <c r="E36" s="111" t="s">
        <v>28</v>
      </c>
      <c r="F36" s="108"/>
      <c r="G36" s="108"/>
      <c r="H36" s="108"/>
      <c r="I36" s="112"/>
      <c r="J36" s="110"/>
      <c r="K36" s="178"/>
      <c r="L36" s="179"/>
    </row>
    <row r="37" spans="1:12" x14ac:dyDescent="0.2">
      <c r="A37" s="100"/>
      <c r="B37" s="101"/>
      <c r="C37" s="106"/>
      <c r="D37" s="117">
        <f>D35*6.2</f>
        <v>0</v>
      </c>
      <c r="E37" s="118" t="s">
        <v>20</v>
      </c>
      <c r="F37" s="101"/>
      <c r="G37" s="101"/>
      <c r="H37" s="101"/>
      <c r="I37" s="106"/>
      <c r="J37" s="100" t="s">
        <v>23</v>
      </c>
      <c r="K37" s="116">
        <f>D37</f>
        <v>0</v>
      </c>
      <c r="L37" s="106" t="s">
        <v>24</v>
      </c>
    </row>
    <row r="39" spans="1:12" x14ac:dyDescent="0.2">
      <c r="A39" s="93" t="s">
        <v>57</v>
      </c>
      <c r="B39" s="94"/>
      <c r="C39" s="184"/>
      <c r="D39" s="184"/>
      <c r="E39" s="95"/>
      <c r="F39" s="95"/>
      <c r="G39" s="95"/>
      <c r="H39" s="95"/>
      <c r="I39" s="95"/>
      <c r="J39" s="95"/>
      <c r="K39" s="95"/>
      <c r="L39" s="78"/>
    </row>
    <row r="40" spans="1:12" x14ac:dyDescent="0.2">
      <c r="A40" s="96" t="s">
        <v>3</v>
      </c>
      <c r="B40" s="97"/>
      <c r="C40" s="98"/>
      <c r="D40" s="87"/>
      <c r="E40" s="185" t="s">
        <v>9</v>
      </c>
      <c r="F40" s="185"/>
      <c r="G40" s="87"/>
      <c r="H40" s="98" t="s">
        <v>11</v>
      </c>
      <c r="I40" s="98"/>
      <c r="J40" s="98"/>
      <c r="K40" s="98"/>
      <c r="L40" s="99"/>
    </row>
    <row r="41" spans="1:12" x14ac:dyDescent="0.2">
      <c r="A41" s="100"/>
      <c r="B41" s="101"/>
      <c r="C41" s="101"/>
      <c r="D41" s="87"/>
      <c r="E41" s="186" t="s">
        <v>10</v>
      </c>
      <c r="F41" s="186"/>
      <c r="G41" s="87"/>
      <c r="H41" s="101" t="s">
        <v>12</v>
      </c>
      <c r="I41" s="187"/>
      <c r="J41" s="187"/>
      <c r="K41" s="187"/>
      <c r="L41" s="188"/>
    </row>
    <row r="42" spans="1:12" x14ac:dyDescent="0.2">
      <c r="A42" s="93" t="s">
        <v>4</v>
      </c>
      <c r="B42" s="102"/>
      <c r="C42" s="95"/>
      <c r="D42" s="88">
        <v>0</v>
      </c>
      <c r="E42" s="95" t="s">
        <v>13</v>
      </c>
      <c r="F42" s="95"/>
      <c r="G42" s="95"/>
      <c r="H42" s="95"/>
      <c r="I42" s="95"/>
      <c r="J42" s="95"/>
      <c r="K42" s="95"/>
      <c r="L42" s="78"/>
    </row>
    <row r="43" spans="1:12" x14ac:dyDescent="0.2">
      <c r="A43" s="96" t="s">
        <v>0</v>
      </c>
      <c r="B43" s="97"/>
      <c r="C43" s="99"/>
      <c r="D43" s="103"/>
      <c r="E43" s="98"/>
      <c r="F43" s="98"/>
      <c r="G43" s="98"/>
      <c r="H43" s="98"/>
      <c r="I43" s="98"/>
      <c r="J43" s="98"/>
      <c r="K43" s="98"/>
      <c r="L43" s="99"/>
    </row>
    <row r="44" spans="1:12" x14ac:dyDescent="0.2">
      <c r="A44" s="89"/>
      <c r="B44" s="104" t="s">
        <v>8</v>
      </c>
      <c r="C44" s="105"/>
      <c r="D44" s="89"/>
      <c r="E44" s="101" t="s">
        <v>14</v>
      </c>
      <c r="F44" s="101"/>
      <c r="G44" s="101"/>
      <c r="H44" s="101"/>
      <c r="I44" s="101"/>
      <c r="J44" s="101"/>
      <c r="K44" s="101"/>
      <c r="L44" s="106"/>
    </row>
    <row r="45" spans="1:12" x14ac:dyDescent="0.2">
      <c r="A45" s="96" t="s">
        <v>1</v>
      </c>
      <c r="B45" s="97"/>
      <c r="C45" s="98"/>
      <c r="D45" s="98"/>
      <c r="E45" s="98"/>
      <c r="F45" s="98"/>
      <c r="G45" s="98"/>
      <c r="H45" s="98"/>
      <c r="I45" s="98"/>
      <c r="J45" s="98"/>
      <c r="K45" s="98"/>
      <c r="L45" s="99"/>
    </row>
    <row r="46" spans="1:12" x14ac:dyDescent="0.2">
      <c r="A46" s="90"/>
      <c r="B46" s="98" t="s">
        <v>5</v>
      </c>
      <c r="C46" s="107"/>
      <c r="D46" s="90">
        <v>0</v>
      </c>
      <c r="E46" s="98" t="s">
        <v>15</v>
      </c>
      <c r="F46" s="98"/>
      <c r="G46" s="98"/>
      <c r="H46" s="98"/>
      <c r="I46" s="99"/>
      <c r="J46" s="103" t="s">
        <v>22</v>
      </c>
      <c r="K46" s="98"/>
      <c r="L46" s="99"/>
    </row>
    <row r="47" spans="1:12" x14ac:dyDescent="0.2">
      <c r="A47" s="90"/>
      <c r="B47" s="108" t="s">
        <v>6</v>
      </c>
      <c r="C47" s="109"/>
      <c r="D47" s="110"/>
      <c r="E47" s="111" t="s">
        <v>21</v>
      </c>
      <c r="F47" s="108"/>
      <c r="G47" s="108"/>
      <c r="H47" s="108"/>
      <c r="I47" s="112"/>
      <c r="J47" s="177"/>
      <c r="K47" s="178"/>
      <c r="L47" s="179"/>
    </row>
    <row r="48" spans="1:12" x14ac:dyDescent="0.2">
      <c r="A48" s="89"/>
      <c r="B48" s="108" t="s">
        <v>7</v>
      </c>
      <c r="C48" s="109"/>
      <c r="D48" s="113">
        <f>$D$42*3.1</f>
        <v>0</v>
      </c>
      <c r="E48" s="111" t="s">
        <v>16</v>
      </c>
      <c r="F48" s="108"/>
      <c r="G48" s="108"/>
      <c r="H48" s="108"/>
      <c r="I48" s="112"/>
      <c r="J48" s="177"/>
      <c r="K48" s="178"/>
      <c r="L48" s="179"/>
    </row>
    <row r="49" spans="1:12" x14ac:dyDescent="0.2">
      <c r="A49" s="110"/>
      <c r="B49" s="91"/>
      <c r="C49" s="112" t="s">
        <v>25</v>
      </c>
      <c r="D49" s="110"/>
      <c r="E49" s="111" t="s">
        <v>17</v>
      </c>
      <c r="F49" s="91">
        <v>1</v>
      </c>
      <c r="G49" s="108" t="s">
        <v>18</v>
      </c>
      <c r="H49" s="108"/>
      <c r="I49" s="112"/>
      <c r="J49" s="177"/>
      <c r="K49" s="178"/>
      <c r="L49" s="179"/>
    </row>
    <row r="50" spans="1:12" ht="27" customHeight="1" x14ac:dyDescent="0.2">
      <c r="A50" s="100"/>
      <c r="B50" s="101"/>
      <c r="C50" s="114" t="s">
        <v>26</v>
      </c>
      <c r="D50" s="115">
        <f>(($D$46/12)*$D$42)*0.037037037</f>
        <v>0</v>
      </c>
      <c r="E50" s="180" t="s">
        <v>27</v>
      </c>
      <c r="F50" s="180"/>
      <c r="G50" s="180"/>
      <c r="H50" s="180"/>
      <c r="I50" s="181"/>
      <c r="J50" s="100" t="s">
        <v>23</v>
      </c>
      <c r="K50" s="116">
        <f>D50</f>
        <v>0</v>
      </c>
      <c r="L50" s="106" t="s">
        <v>24</v>
      </c>
    </row>
    <row r="51" spans="1:12" x14ac:dyDescent="0.2">
      <c r="A51" s="96" t="s">
        <v>2</v>
      </c>
      <c r="B51" s="97"/>
      <c r="C51" s="99"/>
      <c r="D51" s="90">
        <v>0</v>
      </c>
      <c r="E51" s="98" t="s">
        <v>19</v>
      </c>
      <c r="F51" s="98"/>
      <c r="G51" s="98"/>
      <c r="H51" s="98"/>
      <c r="I51" s="99"/>
      <c r="J51" s="103" t="s">
        <v>22</v>
      </c>
      <c r="K51" s="182"/>
      <c r="L51" s="183"/>
    </row>
    <row r="52" spans="1:12" x14ac:dyDescent="0.2">
      <c r="A52" s="110"/>
      <c r="B52" s="108"/>
      <c r="C52" s="112"/>
      <c r="D52" s="110"/>
      <c r="E52" s="111" t="s">
        <v>28</v>
      </c>
      <c r="F52" s="108"/>
      <c r="G52" s="108"/>
      <c r="H52" s="108"/>
      <c r="I52" s="112"/>
      <c r="J52" s="110"/>
      <c r="K52" s="178"/>
      <c r="L52" s="179"/>
    </row>
    <row r="53" spans="1:12" x14ac:dyDescent="0.2">
      <c r="A53" s="100"/>
      <c r="B53" s="101"/>
      <c r="C53" s="106"/>
      <c r="D53" s="117">
        <f>D51*6.2</f>
        <v>0</v>
      </c>
      <c r="E53" s="118" t="s">
        <v>20</v>
      </c>
      <c r="F53" s="101"/>
      <c r="G53" s="101"/>
      <c r="H53" s="101"/>
      <c r="I53" s="106"/>
      <c r="J53" s="100" t="s">
        <v>23</v>
      </c>
      <c r="K53" s="116">
        <f>D53</f>
        <v>0</v>
      </c>
      <c r="L53" s="106" t="s">
        <v>24</v>
      </c>
    </row>
    <row r="55" spans="1:12" ht="28.5" customHeight="1" x14ac:dyDescent="0.25">
      <c r="A55" s="175" t="s">
        <v>264</v>
      </c>
      <c r="B55" s="176"/>
      <c r="C55" s="176"/>
      <c r="D55" s="176"/>
      <c r="E55" s="176"/>
      <c r="F55" s="176"/>
      <c r="G55" s="176"/>
      <c r="H55" s="176"/>
      <c r="I55" s="176"/>
      <c r="J55" s="119">
        <f>D10+D26+D42</f>
        <v>0</v>
      </c>
      <c r="K55" s="120" t="s">
        <v>13</v>
      </c>
      <c r="L55" s="121"/>
    </row>
  </sheetData>
  <sheetProtection sheet="1" objects="1" scenarios="1" selectLockedCells="1"/>
  <mergeCells count="28">
    <mergeCell ref="C7:D7"/>
    <mergeCell ref="A2:L2"/>
    <mergeCell ref="A1:L1"/>
    <mergeCell ref="A4:C4"/>
    <mergeCell ref="A5:C5"/>
    <mergeCell ref="D4:L4"/>
    <mergeCell ref="D5:L5"/>
    <mergeCell ref="K19:L20"/>
    <mergeCell ref="J15:L17"/>
    <mergeCell ref="E8:F8"/>
    <mergeCell ref="E9:F9"/>
    <mergeCell ref="I9:L9"/>
    <mergeCell ref="E18:I18"/>
    <mergeCell ref="C23:D23"/>
    <mergeCell ref="E24:F24"/>
    <mergeCell ref="E25:F25"/>
    <mergeCell ref="I25:L25"/>
    <mergeCell ref="J31:L33"/>
    <mergeCell ref="A55:I55"/>
    <mergeCell ref="J47:L49"/>
    <mergeCell ref="E50:I50"/>
    <mergeCell ref="K51:L52"/>
    <mergeCell ref="E34:I34"/>
    <mergeCell ref="K35:L36"/>
    <mergeCell ref="C39:D39"/>
    <mergeCell ref="E40:F40"/>
    <mergeCell ref="E41:F41"/>
    <mergeCell ref="I41:L41"/>
  </mergeCells>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zoomScaleNormal="100" workbookViewId="0">
      <selection activeCell="F43" activeCellId="7" sqref="B14:C14 F15 F17:F20 F22:F23 B35:C35 F36 F38:F41 F43:F44"/>
    </sheetView>
  </sheetViews>
  <sheetFormatPr defaultRowHeight="15" x14ac:dyDescent="0.25"/>
  <cols>
    <col min="1" max="1" width="10" style="1" customWidth="1"/>
    <col min="2" max="4" width="9.140625" style="1"/>
    <col min="5" max="5" width="9.140625" style="1" customWidth="1"/>
    <col min="6" max="9" width="9.140625" style="1"/>
    <col min="10" max="10" width="10.5703125" style="1" customWidth="1"/>
    <col min="11" max="16384" width="9.140625" style="1"/>
  </cols>
  <sheetData>
    <row r="1" spans="1:10" x14ac:dyDescent="0.25">
      <c r="A1" s="164" t="s">
        <v>33</v>
      </c>
      <c r="B1" s="164"/>
      <c r="C1" s="164"/>
      <c r="D1" s="164"/>
      <c r="E1" s="164"/>
      <c r="F1" s="164"/>
      <c r="G1" s="164"/>
      <c r="H1" s="164"/>
      <c r="I1" s="164"/>
      <c r="J1" s="164"/>
    </row>
    <row r="2" spans="1:10" x14ac:dyDescent="0.25">
      <c r="A2" s="164" t="s">
        <v>153</v>
      </c>
      <c r="B2" s="164"/>
      <c r="C2" s="164"/>
      <c r="D2" s="164"/>
      <c r="E2" s="164"/>
      <c r="F2" s="164"/>
      <c r="G2" s="164"/>
      <c r="H2" s="164"/>
      <c r="I2" s="164"/>
      <c r="J2" s="164"/>
    </row>
    <row r="4" spans="1:10" x14ac:dyDescent="0.25">
      <c r="A4" s="195" t="s">
        <v>30</v>
      </c>
      <c r="B4" s="195"/>
      <c r="C4" s="195"/>
      <c r="D4" s="196" t="str">
        <f>'1-Project Information'!C4</f>
        <v>BETA-001</v>
      </c>
      <c r="E4" s="196"/>
      <c r="F4" s="196"/>
      <c r="G4" s="196"/>
      <c r="H4" s="196"/>
      <c r="I4" s="196"/>
      <c r="J4" s="196"/>
    </row>
    <row r="5" spans="1:10" x14ac:dyDescent="0.25">
      <c r="A5" s="195" t="s">
        <v>35</v>
      </c>
      <c r="B5" s="195"/>
      <c r="C5" s="195"/>
      <c r="D5" s="197">
        <f>'1-Project Information'!C5</f>
        <v>42278</v>
      </c>
      <c r="E5" s="197"/>
      <c r="F5" s="197"/>
      <c r="G5" s="197"/>
      <c r="H5" s="197"/>
      <c r="I5" s="197"/>
      <c r="J5" s="197"/>
    </row>
    <row r="7" spans="1:10" x14ac:dyDescent="0.25">
      <c r="A7" s="3" t="s">
        <v>85</v>
      </c>
      <c r="B7" s="12"/>
      <c r="C7" s="4"/>
      <c r="D7" s="4"/>
      <c r="E7" s="4"/>
      <c r="F7" s="41"/>
      <c r="G7" s="22"/>
      <c r="H7" s="22"/>
      <c r="I7" s="22"/>
    </row>
    <row r="8" spans="1:10" x14ac:dyDescent="0.25">
      <c r="A8" s="25" t="s">
        <v>155</v>
      </c>
      <c r="B8" s="43"/>
      <c r="C8" s="44" t="s">
        <v>156</v>
      </c>
      <c r="D8" s="44" t="s">
        <v>161</v>
      </c>
      <c r="E8" s="44"/>
      <c r="F8" s="39"/>
      <c r="G8" s="22"/>
      <c r="H8" s="22"/>
      <c r="I8" s="22"/>
    </row>
    <row r="9" spans="1:10" ht="15.75" x14ac:dyDescent="0.25">
      <c r="A9" s="13" t="s">
        <v>157</v>
      </c>
      <c r="B9" s="28"/>
      <c r="C9" s="18" t="s">
        <v>158</v>
      </c>
      <c r="D9" s="18" t="s">
        <v>162</v>
      </c>
      <c r="E9" s="18"/>
      <c r="F9" s="41"/>
      <c r="G9" s="22"/>
      <c r="H9" s="22"/>
      <c r="I9" s="22"/>
    </row>
    <row r="10" spans="1:10" ht="15.75" x14ac:dyDescent="0.25">
      <c r="A10" s="10"/>
      <c r="B10" s="39"/>
      <c r="C10" s="18" t="s">
        <v>159</v>
      </c>
      <c r="D10" s="18" t="s">
        <v>163</v>
      </c>
      <c r="E10" s="18"/>
      <c r="F10" s="41"/>
      <c r="G10" s="22"/>
      <c r="H10" s="22"/>
      <c r="I10" s="22"/>
    </row>
    <row r="11" spans="1:10" ht="15.75" x14ac:dyDescent="0.25">
      <c r="A11" s="13" t="s">
        <v>160</v>
      </c>
      <c r="B11" s="28"/>
      <c r="C11" s="42" t="s">
        <v>158</v>
      </c>
      <c r="D11" s="42" t="s">
        <v>164</v>
      </c>
      <c r="E11" s="4"/>
      <c r="F11" s="41"/>
      <c r="G11" s="22"/>
      <c r="H11" s="22"/>
      <c r="I11" s="22"/>
    </row>
    <row r="12" spans="1:10" ht="15.75" x14ac:dyDescent="0.25">
      <c r="A12" s="10"/>
      <c r="B12" s="39"/>
      <c r="C12" s="42" t="s">
        <v>159</v>
      </c>
      <c r="D12" s="42" t="s">
        <v>165</v>
      </c>
      <c r="E12" s="4"/>
      <c r="F12" s="41"/>
      <c r="G12" s="22"/>
      <c r="H12" s="22"/>
      <c r="I12" s="22"/>
    </row>
    <row r="13" spans="1:10" x14ac:dyDescent="0.25">
      <c r="A13" s="22"/>
      <c r="B13" s="22"/>
      <c r="C13" s="22"/>
      <c r="D13" s="22"/>
      <c r="E13" s="22"/>
      <c r="F13" s="22"/>
      <c r="G13" s="22"/>
      <c r="H13" s="22"/>
      <c r="I13" s="22"/>
    </row>
    <row r="14" spans="1:10" x14ac:dyDescent="0.25">
      <c r="A14" s="6" t="s">
        <v>58</v>
      </c>
      <c r="B14" s="194"/>
      <c r="C14" s="194"/>
      <c r="D14" s="8" t="s">
        <v>154</v>
      </c>
      <c r="E14" s="8"/>
      <c r="F14" s="8"/>
      <c r="G14" s="8"/>
      <c r="H14" s="8"/>
      <c r="I14" s="8"/>
      <c r="J14" s="28"/>
    </row>
    <row r="15" spans="1:10" x14ac:dyDescent="0.25">
      <c r="A15" s="6" t="s">
        <v>99</v>
      </c>
      <c r="B15" s="7"/>
      <c r="C15" s="8"/>
      <c r="D15" s="27"/>
      <c r="E15" s="27"/>
      <c r="F15" s="123">
        <v>0</v>
      </c>
      <c r="G15" s="45" t="s">
        <v>166</v>
      </c>
      <c r="H15" s="8"/>
      <c r="I15" s="8"/>
      <c r="J15" s="28"/>
    </row>
    <row r="16" spans="1:10" ht="7.5" customHeight="1" x14ac:dyDescent="0.25">
      <c r="A16" s="20"/>
      <c r="B16" s="21"/>
      <c r="C16" s="15"/>
      <c r="D16" s="22"/>
      <c r="E16" s="22"/>
      <c r="F16" s="122"/>
      <c r="G16" s="46"/>
      <c r="H16" s="15"/>
      <c r="I16" s="15"/>
      <c r="J16" s="48"/>
    </row>
    <row r="17" spans="1:10" x14ac:dyDescent="0.25">
      <c r="A17" s="20" t="s">
        <v>169</v>
      </c>
      <c r="B17" s="21"/>
      <c r="C17" s="15"/>
      <c r="D17" s="22"/>
      <c r="E17" s="22"/>
      <c r="F17" s="124">
        <v>0</v>
      </c>
      <c r="G17" s="46" t="s">
        <v>181</v>
      </c>
      <c r="H17" s="15"/>
      <c r="I17" s="15"/>
      <c r="J17" s="48"/>
    </row>
    <row r="18" spans="1:10" x14ac:dyDescent="0.25">
      <c r="A18" s="20" t="s">
        <v>170</v>
      </c>
      <c r="B18" s="21"/>
      <c r="C18" s="15"/>
      <c r="D18" s="22"/>
      <c r="E18" s="22"/>
      <c r="F18" s="124">
        <v>0</v>
      </c>
      <c r="G18" s="46" t="s">
        <v>13</v>
      </c>
      <c r="H18" s="15"/>
      <c r="I18" s="15"/>
      <c r="J18" s="48"/>
    </row>
    <row r="19" spans="1:10" x14ac:dyDescent="0.25">
      <c r="A19" s="20" t="s">
        <v>171</v>
      </c>
      <c r="B19" s="21"/>
      <c r="C19" s="15"/>
      <c r="D19" s="22"/>
      <c r="E19" s="22"/>
      <c r="F19" s="124">
        <v>0</v>
      </c>
      <c r="G19" s="46" t="s">
        <v>181</v>
      </c>
      <c r="H19" s="15"/>
      <c r="I19" s="15"/>
      <c r="J19" s="48"/>
    </row>
    <row r="20" spans="1:10" x14ac:dyDescent="0.25">
      <c r="A20" s="20" t="s">
        <v>172</v>
      </c>
      <c r="B20" s="21"/>
      <c r="C20" s="15"/>
      <c r="D20" s="22"/>
      <c r="E20" s="22"/>
      <c r="F20" s="124">
        <v>0</v>
      </c>
      <c r="G20" s="46" t="s">
        <v>13</v>
      </c>
      <c r="H20" s="15"/>
      <c r="I20" s="15"/>
      <c r="J20" s="48"/>
    </row>
    <row r="21" spans="1:10" ht="7.5" customHeight="1" x14ac:dyDescent="0.25">
      <c r="A21" s="20"/>
      <c r="B21" s="21"/>
      <c r="C21" s="15"/>
      <c r="D21" s="22"/>
      <c r="E21" s="22"/>
      <c r="F21" s="122"/>
      <c r="G21" s="46"/>
      <c r="H21" s="15"/>
      <c r="I21" s="15"/>
      <c r="J21" s="48"/>
    </row>
    <row r="22" spans="1:10" x14ac:dyDescent="0.25">
      <c r="A22" s="20" t="s">
        <v>173</v>
      </c>
      <c r="B22" s="21"/>
      <c r="C22" s="15"/>
      <c r="D22" s="22"/>
      <c r="E22" s="22"/>
      <c r="F22" s="124">
        <v>0</v>
      </c>
      <c r="G22" s="46" t="s">
        <v>167</v>
      </c>
      <c r="H22" s="15"/>
      <c r="I22" s="15"/>
      <c r="J22" s="48"/>
    </row>
    <row r="23" spans="1:10" x14ac:dyDescent="0.25">
      <c r="A23" s="20" t="s">
        <v>174</v>
      </c>
      <c r="B23" s="21"/>
      <c r="C23" s="15"/>
      <c r="D23" s="22"/>
      <c r="E23" s="22"/>
      <c r="F23" s="124">
        <v>0</v>
      </c>
      <c r="G23" s="46" t="s">
        <v>167</v>
      </c>
      <c r="H23" s="15"/>
      <c r="I23" s="15"/>
      <c r="J23" s="48"/>
    </row>
    <row r="24" spans="1:10" x14ac:dyDescent="0.25">
      <c r="A24" s="6" t="s">
        <v>234</v>
      </c>
      <c r="B24" s="7"/>
      <c r="C24" s="8"/>
      <c r="D24" s="8"/>
      <c r="E24" s="8"/>
      <c r="F24" s="8"/>
      <c r="G24" s="8"/>
      <c r="H24" s="8"/>
      <c r="I24" s="8"/>
      <c r="J24" s="28"/>
    </row>
    <row r="25" spans="1:10" x14ac:dyDescent="0.25">
      <c r="A25" s="20" t="s">
        <v>168</v>
      </c>
      <c r="B25" s="21"/>
      <c r="C25" s="15"/>
      <c r="D25" s="15"/>
      <c r="E25" s="15"/>
      <c r="F25" s="15"/>
      <c r="G25" s="22"/>
      <c r="H25" s="24">
        <f>IF(F18=0,0,IF(AND(F18&lt;1,F18&gt;500),100,F18*0.2))</f>
        <v>0</v>
      </c>
      <c r="I25" s="46" t="s">
        <v>13</v>
      </c>
      <c r="J25" s="48"/>
    </row>
    <row r="26" spans="1:10" x14ac:dyDescent="0.25">
      <c r="A26" s="20" t="s">
        <v>177</v>
      </c>
      <c r="B26" s="21"/>
      <c r="C26" s="15"/>
      <c r="D26" s="15"/>
      <c r="E26" s="15"/>
      <c r="F26" s="15"/>
      <c r="G26" s="22"/>
      <c r="H26" s="24">
        <f>IF(F20=0,0,IF(AND(F20&lt;1,F20&gt;500),50,F20*0.1))</f>
        <v>0</v>
      </c>
      <c r="I26" s="46" t="s">
        <v>13</v>
      </c>
      <c r="J26" s="48"/>
    </row>
    <row r="27" spans="1:10" x14ac:dyDescent="0.25">
      <c r="A27" s="20" t="s">
        <v>175</v>
      </c>
      <c r="B27" s="21"/>
      <c r="C27" s="15"/>
      <c r="D27" s="15"/>
      <c r="E27" s="15"/>
      <c r="F27" s="15"/>
      <c r="G27" s="22"/>
      <c r="H27" s="24">
        <f>F22*50</f>
        <v>0</v>
      </c>
      <c r="I27" s="46" t="s">
        <v>13</v>
      </c>
      <c r="J27" s="48"/>
    </row>
    <row r="28" spans="1:10" x14ac:dyDescent="0.25">
      <c r="A28" s="20" t="s">
        <v>176</v>
      </c>
      <c r="B28" s="21"/>
      <c r="C28" s="15"/>
      <c r="D28" s="15"/>
      <c r="E28" s="15"/>
      <c r="F28" s="15"/>
      <c r="G28" s="22"/>
      <c r="H28" s="24">
        <f>F23*20</f>
        <v>0</v>
      </c>
      <c r="I28" s="46" t="s">
        <v>13</v>
      </c>
      <c r="J28" s="48"/>
    </row>
    <row r="29" spans="1:10" ht="7.5" customHeight="1" x14ac:dyDescent="0.25">
      <c r="A29" s="20"/>
      <c r="B29" s="21"/>
      <c r="C29" s="15"/>
      <c r="D29" s="15"/>
      <c r="E29" s="15"/>
      <c r="F29" s="15"/>
      <c r="G29" s="22"/>
      <c r="H29" s="40"/>
      <c r="I29" s="46"/>
      <c r="J29" s="48"/>
    </row>
    <row r="30" spans="1:10" x14ac:dyDescent="0.25">
      <c r="A30" s="25" t="s">
        <v>178</v>
      </c>
      <c r="B30" s="23"/>
      <c r="C30" s="11"/>
      <c r="D30" s="11"/>
      <c r="E30" s="11"/>
      <c r="F30" s="11"/>
      <c r="G30" s="30"/>
      <c r="H30" s="58">
        <f>IF(SUM(H25:H28)&gt;0.25*F15,0.25*F15,SUM(H25:H28))</f>
        <v>0</v>
      </c>
      <c r="I30" s="47" t="s">
        <v>13</v>
      </c>
      <c r="J30" s="39"/>
    </row>
    <row r="31" spans="1:10" hidden="1" x14ac:dyDescent="0.25">
      <c r="A31" s="20"/>
      <c r="B31" s="21"/>
      <c r="C31" s="15"/>
      <c r="D31" s="15"/>
      <c r="E31" s="15"/>
      <c r="F31" s="15"/>
      <c r="G31" s="15"/>
      <c r="H31" s="15"/>
      <c r="I31" s="15"/>
      <c r="J31" s="48"/>
    </row>
    <row r="32" spans="1:10" hidden="1" x14ac:dyDescent="0.25">
      <c r="A32" s="20" t="s">
        <v>179</v>
      </c>
      <c r="B32" s="21"/>
      <c r="C32" s="21"/>
      <c r="D32" s="15"/>
      <c r="E32" s="15"/>
      <c r="F32" s="15"/>
      <c r="G32" s="29">
        <f>((1*(0.05+0.009*100)*($F$15/43560))/12)*43560</f>
        <v>0</v>
      </c>
      <c r="H32" s="46" t="s">
        <v>124</v>
      </c>
      <c r="I32" s="15"/>
      <c r="J32" s="48"/>
    </row>
    <row r="33" spans="1:10" hidden="1" x14ac:dyDescent="0.25">
      <c r="A33" s="25" t="s">
        <v>180</v>
      </c>
      <c r="B33" s="23"/>
      <c r="C33" s="11"/>
      <c r="D33" s="11"/>
      <c r="E33" s="11"/>
      <c r="F33" s="11"/>
      <c r="G33" s="37">
        <f>((1*(0.05+0.009*100)*(($F$15-$H$30)/43560))/12)*43560</f>
        <v>0</v>
      </c>
      <c r="H33" s="47" t="s">
        <v>124</v>
      </c>
      <c r="I33" s="11"/>
      <c r="J33" s="39"/>
    </row>
    <row r="34" spans="1:10" x14ac:dyDescent="0.25">
      <c r="A34" s="21"/>
      <c r="B34" s="21"/>
      <c r="C34" s="15"/>
      <c r="D34" s="15"/>
      <c r="E34" s="15"/>
      <c r="F34" s="15"/>
      <c r="G34" s="15"/>
      <c r="H34" s="15"/>
      <c r="I34" s="15"/>
    </row>
    <row r="35" spans="1:10" x14ac:dyDescent="0.25">
      <c r="A35" s="6" t="s">
        <v>58</v>
      </c>
      <c r="B35" s="194"/>
      <c r="C35" s="194"/>
      <c r="D35" s="8" t="s">
        <v>154</v>
      </c>
      <c r="E35" s="8"/>
      <c r="F35" s="8"/>
      <c r="G35" s="8"/>
      <c r="H35" s="8"/>
      <c r="I35" s="8"/>
      <c r="J35" s="28"/>
    </row>
    <row r="36" spans="1:10" x14ac:dyDescent="0.25">
      <c r="A36" s="6" t="s">
        <v>99</v>
      </c>
      <c r="B36" s="7"/>
      <c r="C36" s="8"/>
      <c r="D36" s="27"/>
      <c r="E36" s="27"/>
      <c r="F36" s="123">
        <v>0</v>
      </c>
      <c r="G36" s="45" t="s">
        <v>166</v>
      </c>
      <c r="H36" s="8"/>
      <c r="I36" s="8"/>
      <c r="J36" s="28"/>
    </row>
    <row r="37" spans="1:10" ht="7.5" customHeight="1" x14ac:dyDescent="0.25">
      <c r="A37" s="20"/>
      <c r="B37" s="21"/>
      <c r="C37" s="15"/>
      <c r="D37" s="22"/>
      <c r="E37" s="22"/>
      <c r="F37" s="122"/>
      <c r="G37" s="46"/>
      <c r="H37" s="15"/>
      <c r="I37" s="15"/>
      <c r="J37" s="48"/>
    </row>
    <row r="38" spans="1:10" x14ac:dyDescent="0.25">
      <c r="A38" s="20" t="s">
        <v>169</v>
      </c>
      <c r="B38" s="21"/>
      <c r="C38" s="15"/>
      <c r="D38" s="22"/>
      <c r="E38" s="22"/>
      <c r="F38" s="124">
        <v>0</v>
      </c>
      <c r="G38" s="46" t="s">
        <v>181</v>
      </c>
      <c r="H38" s="15"/>
      <c r="I38" s="15"/>
      <c r="J38" s="48"/>
    </row>
    <row r="39" spans="1:10" x14ac:dyDescent="0.25">
      <c r="A39" s="20" t="s">
        <v>170</v>
      </c>
      <c r="B39" s="21"/>
      <c r="C39" s="15"/>
      <c r="D39" s="22"/>
      <c r="E39" s="22"/>
      <c r="F39" s="124">
        <v>0</v>
      </c>
      <c r="G39" s="46" t="s">
        <v>13</v>
      </c>
      <c r="H39" s="15"/>
      <c r="I39" s="15"/>
      <c r="J39" s="48"/>
    </row>
    <row r="40" spans="1:10" x14ac:dyDescent="0.25">
      <c r="A40" s="20" t="s">
        <v>171</v>
      </c>
      <c r="B40" s="21"/>
      <c r="C40" s="15"/>
      <c r="D40" s="22"/>
      <c r="E40" s="22"/>
      <c r="F40" s="124">
        <v>0</v>
      </c>
      <c r="G40" s="46" t="s">
        <v>181</v>
      </c>
      <c r="H40" s="15"/>
      <c r="I40" s="15"/>
      <c r="J40" s="48"/>
    </row>
    <row r="41" spans="1:10" x14ac:dyDescent="0.25">
      <c r="A41" s="20" t="s">
        <v>172</v>
      </c>
      <c r="B41" s="21"/>
      <c r="C41" s="15"/>
      <c r="D41" s="22"/>
      <c r="E41" s="22"/>
      <c r="F41" s="124">
        <v>0</v>
      </c>
      <c r="G41" s="46" t="s">
        <v>13</v>
      </c>
      <c r="H41" s="15"/>
      <c r="I41" s="15"/>
      <c r="J41" s="48"/>
    </row>
    <row r="42" spans="1:10" ht="7.5" customHeight="1" x14ac:dyDescent="0.25">
      <c r="A42" s="20"/>
      <c r="B42" s="21"/>
      <c r="C42" s="15"/>
      <c r="D42" s="22"/>
      <c r="E42" s="22"/>
      <c r="F42" s="122"/>
      <c r="G42" s="46"/>
      <c r="H42" s="15"/>
      <c r="I42" s="15"/>
      <c r="J42" s="48"/>
    </row>
    <row r="43" spans="1:10" x14ac:dyDescent="0.25">
      <c r="A43" s="20" t="s">
        <v>173</v>
      </c>
      <c r="B43" s="21"/>
      <c r="C43" s="15"/>
      <c r="D43" s="22"/>
      <c r="E43" s="22"/>
      <c r="F43" s="124">
        <v>0</v>
      </c>
      <c r="G43" s="46" t="s">
        <v>167</v>
      </c>
      <c r="H43" s="15"/>
      <c r="I43" s="15"/>
      <c r="J43" s="48"/>
    </row>
    <row r="44" spans="1:10" x14ac:dyDescent="0.25">
      <c r="A44" s="20" t="s">
        <v>174</v>
      </c>
      <c r="B44" s="21"/>
      <c r="C44" s="15"/>
      <c r="D44" s="22"/>
      <c r="E44" s="22"/>
      <c r="F44" s="124">
        <v>0</v>
      </c>
      <c r="G44" s="46" t="s">
        <v>167</v>
      </c>
      <c r="H44" s="15"/>
      <c r="I44" s="15"/>
      <c r="J44" s="48"/>
    </row>
    <row r="45" spans="1:10" x14ac:dyDescent="0.25">
      <c r="A45" s="6" t="s">
        <v>234</v>
      </c>
      <c r="B45" s="7"/>
      <c r="C45" s="8"/>
      <c r="D45" s="8"/>
      <c r="E45" s="8"/>
      <c r="F45" s="8"/>
      <c r="G45" s="8"/>
      <c r="H45" s="8"/>
      <c r="I45" s="8"/>
      <c r="J45" s="28"/>
    </row>
    <row r="46" spans="1:10" x14ac:dyDescent="0.25">
      <c r="A46" s="20" t="s">
        <v>168</v>
      </c>
      <c r="B46" s="21"/>
      <c r="C46" s="15"/>
      <c r="D46" s="15"/>
      <c r="E46" s="15"/>
      <c r="F46" s="15"/>
      <c r="G46" s="22"/>
      <c r="H46" s="24">
        <f>IF(F39=0,0,IF(AND(F39&lt;1,F39&gt;500),100,F39*0.2))</f>
        <v>0</v>
      </c>
      <c r="I46" s="46" t="s">
        <v>13</v>
      </c>
      <c r="J46" s="48"/>
    </row>
    <row r="47" spans="1:10" x14ac:dyDescent="0.25">
      <c r="A47" s="20" t="s">
        <v>177</v>
      </c>
      <c r="B47" s="21"/>
      <c r="C47" s="15"/>
      <c r="D47" s="15"/>
      <c r="E47" s="15"/>
      <c r="F47" s="15"/>
      <c r="G47" s="22"/>
      <c r="H47" s="24">
        <f>IF(F41=0,0,IF(AND(F41&lt;1,F41&gt;500),50,F41*0.1))</f>
        <v>0</v>
      </c>
      <c r="I47" s="46" t="s">
        <v>13</v>
      </c>
      <c r="J47" s="48"/>
    </row>
    <row r="48" spans="1:10" x14ac:dyDescent="0.25">
      <c r="A48" s="20" t="s">
        <v>175</v>
      </c>
      <c r="B48" s="21"/>
      <c r="C48" s="15"/>
      <c r="D48" s="15"/>
      <c r="E48" s="15"/>
      <c r="F48" s="15"/>
      <c r="G48" s="22"/>
      <c r="H48" s="24">
        <f>F43*50</f>
        <v>0</v>
      </c>
      <c r="I48" s="46" t="s">
        <v>13</v>
      </c>
      <c r="J48" s="48"/>
    </row>
    <row r="49" spans="1:10" x14ac:dyDescent="0.25">
      <c r="A49" s="20" t="s">
        <v>176</v>
      </c>
      <c r="B49" s="21"/>
      <c r="C49" s="15"/>
      <c r="D49" s="15"/>
      <c r="E49" s="15"/>
      <c r="F49" s="15"/>
      <c r="G49" s="22"/>
      <c r="H49" s="24">
        <f>F44*20</f>
        <v>0</v>
      </c>
      <c r="I49" s="46" t="s">
        <v>13</v>
      </c>
      <c r="J49" s="48"/>
    </row>
    <row r="50" spans="1:10" ht="7.5" customHeight="1" x14ac:dyDescent="0.25">
      <c r="A50" s="20"/>
      <c r="B50" s="21"/>
      <c r="C50" s="15"/>
      <c r="D50" s="15"/>
      <c r="E50" s="15"/>
      <c r="F50" s="15"/>
      <c r="G50" s="22"/>
      <c r="H50" s="40"/>
      <c r="I50" s="46"/>
      <c r="J50" s="48"/>
    </row>
    <row r="51" spans="1:10" x14ac:dyDescent="0.25">
      <c r="A51" s="25" t="s">
        <v>178</v>
      </c>
      <c r="B51" s="23"/>
      <c r="C51" s="11"/>
      <c r="D51" s="11"/>
      <c r="E51" s="11"/>
      <c r="F51" s="11"/>
      <c r="G51" s="30"/>
      <c r="H51" s="58">
        <f>IF(SUM(H46:H49)&gt;0.25*F36,0.25*F36,SUM(H46:H49))</f>
        <v>0</v>
      </c>
      <c r="I51" s="47" t="s">
        <v>13</v>
      </c>
      <c r="J51" s="39"/>
    </row>
    <row r="52" spans="1:10" hidden="1" x14ac:dyDescent="0.25">
      <c r="A52" s="20"/>
      <c r="B52" s="21"/>
      <c r="C52" s="15"/>
      <c r="D52" s="15"/>
      <c r="E52" s="15"/>
      <c r="F52" s="15"/>
      <c r="G52" s="15"/>
      <c r="H52" s="15"/>
      <c r="I52" s="15"/>
      <c r="J52" s="48"/>
    </row>
    <row r="53" spans="1:10" hidden="1" x14ac:dyDescent="0.25">
      <c r="A53" s="20" t="s">
        <v>179</v>
      </c>
      <c r="B53" s="21"/>
      <c r="C53" s="21"/>
      <c r="D53" s="15"/>
      <c r="E53" s="15"/>
      <c r="F53" s="15"/>
      <c r="G53" s="29">
        <f>((1*(0.05+0.009*100)*($F$15/43560))/12)*43560</f>
        <v>0</v>
      </c>
      <c r="H53" s="46" t="s">
        <v>124</v>
      </c>
      <c r="I53" s="15"/>
      <c r="J53" s="48"/>
    </row>
    <row r="54" spans="1:10" hidden="1" x14ac:dyDescent="0.25">
      <c r="A54" s="25" t="s">
        <v>180</v>
      </c>
      <c r="B54" s="23"/>
      <c r="C54" s="11"/>
      <c r="D54" s="11"/>
      <c r="E54" s="11"/>
      <c r="F54" s="11"/>
      <c r="G54" s="37">
        <f>((1*(0.05+0.009*100)*(($F$15-$H$30)/43560))/12)*43560</f>
        <v>0</v>
      </c>
      <c r="H54" s="47" t="s">
        <v>124</v>
      </c>
      <c r="I54" s="11"/>
      <c r="J54" s="39"/>
    </row>
    <row r="56" spans="1:10" ht="29.25" customHeight="1" x14ac:dyDescent="0.25">
      <c r="A56" s="192" t="s">
        <v>241</v>
      </c>
      <c r="B56" s="193"/>
      <c r="C56" s="193"/>
      <c r="D56" s="193"/>
      <c r="E56" s="193"/>
      <c r="F56" s="193"/>
      <c r="G56" s="61"/>
      <c r="H56" s="62">
        <f>H30+H51</f>
        <v>0</v>
      </c>
      <c r="I56" s="61" t="s">
        <v>13</v>
      </c>
      <c r="J56" s="41"/>
    </row>
  </sheetData>
  <sheetProtection sheet="1" objects="1" scenarios="1" selectLockedCells="1"/>
  <mergeCells count="9">
    <mergeCell ref="A56:F56"/>
    <mergeCell ref="B14:C14"/>
    <mergeCell ref="B35:C35"/>
    <mergeCell ref="A1:J1"/>
    <mergeCell ref="A2:J2"/>
    <mergeCell ref="A4:C4"/>
    <mergeCell ref="A5:C5"/>
    <mergeCell ref="D4:J4"/>
    <mergeCell ref="D5:J5"/>
  </mergeCells>
  <pageMargins left="0.5" right="0.5" top="0.5" bottom="0.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showGridLines="0" zoomScaleNormal="100" workbookViewId="0">
      <selection activeCell="B7" sqref="B7:C7"/>
    </sheetView>
  </sheetViews>
  <sheetFormatPr defaultRowHeight="15" x14ac:dyDescent="0.25"/>
  <cols>
    <col min="1" max="1" width="10.140625" style="125" customWidth="1"/>
    <col min="2" max="16384" width="9.140625" style="125"/>
  </cols>
  <sheetData>
    <row r="1" spans="1:13" x14ac:dyDescent="0.25">
      <c r="A1" s="167" t="s">
        <v>33</v>
      </c>
      <c r="B1" s="167"/>
      <c r="C1" s="167"/>
      <c r="D1" s="167"/>
      <c r="E1" s="167"/>
      <c r="F1" s="167"/>
      <c r="G1" s="167"/>
      <c r="H1" s="167"/>
      <c r="I1" s="167"/>
      <c r="J1" s="167"/>
    </row>
    <row r="2" spans="1:13" x14ac:dyDescent="0.25">
      <c r="A2" s="167" t="s">
        <v>56</v>
      </c>
      <c r="B2" s="167"/>
      <c r="C2" s="167"/>
      <c r="D2" s="167"/>
      <c r="E2" s="167"/>
      <c r="F2" s="167"/>
      <c r="G2" s="167"/>
      <c r="H2" s="167"/>
      <c r="I2" s="167"/>
      <c r="J2" s="126"/>
      <c r="K2" s="126"/>
      <c r="L2" s="126"/>
    </row>
    <row r="4" spans="1:13" x14ac:dyDescent="0.25">
      <c r="A4" s="189" t="s">
        <v>30</v>
      </c>
      <c r="B4" s="189"/>
      <c r="C4" s="189"/>
      <c r="D4" s="190" t="str">
        <f>'1-Project Information'!C4</f>
        <v>BETA-001</v>
      </c>
      <c r="E4" s="190"/>
      <c r="F4" s="190"/>
      <c r="G4" s="190"/>
      <c r="H4" s="190"/>
      <c r="I4" s="190"/>
      <c r="J4" s="190"/>
    </row>
    <row r="5" spans="1:13" x14ac:dyDescent="0.25">
      <c r="A5" s="189" t="s">
        <v>35</v>
      </c>
      <c r="B5" s="189"/>
      <c r="C5" s="189"/>
      <c r="D5" s="191">
        <f>'1-Project Information'!C5</f>
        <v>42278</v>
      </c>
      <c r="E5" s="191"/>
      <c r="F5" s="191"/>
      <c r="G5" s="191"/>
      <c r="H5" s="191"/>
      <c r="I5" s="191"/>
      <c r="J5" s="191"/>
    </row>
    <row r="6" spans="1:13" x14ac:dyDescent="0.25">
      <c r="A6" s="127"/>
      <c r="B6" s="127"/>
      <c r="C6" s="127"/>
      <c r="D6" s="127"/>
      <c r="E6" s="127"/>
      <c r="F6" s="127"/>
      <c r="G6" s="127"/>
      <c r="H6" s="127"/>
      <c r="I6" s="127"/>
      <c r="J6" s="127"/>
      <c r="K6" s="127"/>
      <c r="L6" s="127"/>
      <c r="M6" s="127"/>
    </row>
    <row r="7" spans="1:13" x14ac:dyDescent="0.25">
      <c r="A7" s="93" t="s">
        <v>58</v>
      </c>
      <c r="B7" s="184"/>
      <c r="C7" s="184"/>
      <c r="D7" s="95" t="s">
        <v>59</v>
      </c>
      <c r="E7" s="95"/>
      <c r="F7" s="95"/>
      <c r="G7" s="95"/>
      <c r="H7" s="95"/>
      <c r="I7" s="95"/>
      <c r="J7" s="78"/>
      <c r="K7" s="108"/>
      <c r="L7" s="108"/>
      <c r="M7" s="127"/>
    </row>
    <row r="8" spans="1:13" x14ac:dyDescent="0.25">
      <c r="A8" s="93" t="s">
        <v>4</v>
      </c>
      <c r="B8" s="102"/>
      <c r="C8" s="95"/>
      <c r="D8" s="88">
        <v>0</v>
      </c>
      <c r="E8" s="95" t="s">
        <v>185</v>
      </c>
      <c r="F8" s="95"/>
      <c r="G8" s="95"/>
      <c r="H8" s="95"/>
      <c r="I8" s="95"/>
      <c r="J8" s="78"/>
      <c r="K8" s="108"/>
      <c r="L8" s="108"/>
      <c r="M8" s="127"/>
    </row>
    <row r="9" spans="1:13" x14ac:dyDescent="0.25">
      <c r="A9" s="96" t="s">
        <v>113</v>
      </c>
      <c r="B9" s="97"/>
      <c r="C9" s="98"/>
      <c r="D9" s="98"/>
      <c r="E9" s="98"/>
      <c r="F9" s="98"/>
      <c r="G9" s="98"/>
      <c r="H9" s="98"/>
      <c r="I9" s="98"/>
      <c r="J9" s="99"/>
      <c r="K9" s="108"/>
      <c r="L9" s="108"/>
      <c r="M9" s="127"/>
    </row>
    <row r="10" spans="1:13" ht="7.5" customHeight="1" x14ac:dyDescent="0.25">
      <c r="A10" s="129"/>
      <c r="B10" s="130"/>
      <c r="C10" s="108"/>
      <c r="D10" s="108"/>
      <c r="E10" s="108"/>
      <c r="F10" s="108"/>
      <c r="G10" s="108"/>
      <c r="H10" s="108"/>
      <c r="I10" s="108"/>
      <c r="J10" s="112"/>
      <c r="K10" s="108"/>
      <c r="L10" s="108"/>
      <c r="M10" s="127"/>
    </row>
    <row r="11" spans="1:13" x14ac:dyDescent="0.25">
      <c r="A11" s="129"/>
      <c r="B11" s="130" t="s">
        <v>63</v>
      </c>
      <c r="C11" s="108"/>
      <c r="D11" s="108"/>
      <c r="E11" s="108"/>
      <c r="F11" s="108"/>
      <c r="G11" s="108"/>
      <c r="H11" s="108"/>
      <c r="I11" s="108"/>
      <c r="J11" s="112"/>
      <c r="K11" s="108"/>
      <c r="L11" s="108"/>
      <c r="M11" s="127"/>
    </row>
    <row r="12" spans="1:13" ht="7.5" customHeight="1" x14ac:dyDescent="0.25">
      <c r="A12" s="129"/>
      <c r="B12" s="130"/>
      <c r="C12" s="108"/>
      <c r="D12" s="108"/>
      <c r="E12" s="108"/>
      <c r="F12" s="108"/>
      <c r="G12" s="108"/>
      <c r="H12" s="108"/>
      <c r="I12" s="108"/>
      <c r="J12" s="112"/>
      <c r="K12" s="108"/>
      <c r="L12" s="108"/>
      <c r="M12" s="127"/>
    </row>
    <row r="13" spans="1:13" x14ac:dyDescent="0.25">
      <c r="A13" s="131"/>
      <c r="B13" s="130"/>
      <c r="C13" s="132" t="s">
        <v>60</v>
      </c>
      <c r="D13" s="133">
        <f>$D$8</f>
        <v>0</v>
      </c>
      <c r="E13" s="108" t="s">
        <v>13</v>
      </c>
      <c r="F13" s="108"/>
      <c r="G13" s="108"/>
      <c r="H13" s="108"/>
      <c r="I13" s="108"/>
      <c r="J13" s="112"/>
      <c r="K13" s="108"/>
      <c r="L13" s="108"/>
      <c r="M13" s="127"/>
    </row>
    <row r="14" spans="1:13" x14ac:dyDescent="0.25">
      <c r="A14" s="134"/>
      <c r="B14" s="135"/>
      <c r="C14" s="136" t="s">
        <v>62</v>
      </c>
      <c r="D14" s="137">
        <f>ROUNDUP((0.56*D13),-1)</f>
        <v>0</v>
      </c>
      <c r="E14" s="101" t="s">
        <v>61</v>
      </c>
      <c r="F14" s="101"/>
      <c r="G14" s="101"/>
      <c r="H14" s="101"/>
      <c r="I14" s="101"/>
      <c r="J14" s="106"/>
      <c r="K14" s="108"/>
      <c r="L14" s="108"/>
      <c r="M14" s="127"/>
    </row>
    <row r="15" spans="1:13" x14ac:dyDescent="0.25">
      <c r="A15" s="130"/>
      <c r="B15" s="130"/>
      <c r="C15" s="108"/>
      <c r="D15" s="108"/>
      <c r="E15" s="108"/>
      <c r="F15" s="108"/>
      <c r="G15" s="108"/>
      <c r="H15" s="108"/>
      <c r="I15" s="108"/>
      <c r="J15" s="108"/>
      <c r="K15" s="108"/>
      <c r="L15" s="108"/>
      <c r="M15" s="127"/>
    </row>
    <row r="16" spans="1:13" x14ac:dyDescent="0.25">
      <c r="A16" s="93" t="s">
        <v>58</v>
      </c>
      <c r="B16" s="184"/>
      <c r="C16" s="184"/>
      <c r="D16" s="95" t="s">
        <v>59</v>
      </c>
      <c r="E16" s="95"/>
      <c r="F16" s="95"/>
      <c r="G16" s="95"/>
      <c r="H16" s="95"/>
      <c r="I16" s="95"/>
      <c r="J16" s="78"/>
      <c r="K16" s="108"/>
      <c r="L16" s="108"/>
      <c r="M16" s="127"/>
    </row>
    <row r="17" spans="1:13" x14ac:dyDescent="0.25">
      <c r="A17" s="93" t="s">
        <v>4</v>
      </c>
      <c r="B17" s="102"/>
      <c r="C17" s="95"/>
      <c r="D17" s="88">
        <v>0</v>
      </c>
      <c r="E17" s="95" t="s">
        <v>185</v>
      </c>
      <c r="F17" s="95"/>
      <c r="G17" s="95"/>
      <c r="H17" s="95"/>
      <c r="I17" s="95"/>
      <c r="J17" s="78"/>
      <c r="K17" s="108"/>
      <c r="L17" s="108"/>
      <c r="M17" s="127"/>
    </row>
    <row r="18" spans="1:13" x14ac:dyDescent="0.25">
      <c r="A18" s="96" t="s">
        <v>113</v>
      </c>
      <c r="B18" s="97"/>
      <c r="C18" s="98"/>
      <c r="D18" s="98"/>
      <c r="E18" s="98"/>
      <c r="F18" s="98"/>
      <c r="G18" s="98"/>
      <c r="H18" s="98"/>
      <c r="I18" s="98"/>
      <c r="J18" s="99"/>
      <c r="K18" s="108"/>
      <c r="L18" s="108"/>
      <c r="M18" s="127"/>
    </row>
    <row r="19" spans="1:13" ht="7.5" customHeight="1" x14ac:dyDescent="0.25">
      <c r="A19" s="129"/>
      <c r="B19" s="130"/>
      <c r="C19" s="108"/>
      <c r="D19" s="108"/>
      <c r="E19" s="108"/>
      <c r="F19" s="108"/>
      <c r="G19" s="108"/>
      <c r="H19" s="108"/>
      <c r="I19" s="108"/>
      <c r="J19" s="112"/>
    </row>
    <row r="20" spans="1:13" x14ac:dyDescent="0.25">
      <c r="A20" s="129"/>
      <c r="B20" s="130" t="s">
        <v>63</v>
      </c>
      <c r="C20" s="108"/>
      <c r="D20" s="108"/>
      <c r="E20" s="108"/>
      <c r="F20" s="108"/>
      <c r="G20" s="108"/>
      <c r="H20" s="108"/>
      <c r="I20" s="108"/>
      <c r="J20" s="112"/>
    </row>
    <row r="21" spans="1:13" ht="7.5" customHeight="1" x14ac:dyDescent="0.25">
      <c r="A21" s="129"/>
      <c r="B21" s="130"/>
      <c r="C21" s="108"/>
      <c r="D21" s="108"/>
      <c r="E21" s="108"/>
      <c r="F21" s="108"/>
      <c r="G21" s="108"/>
      <c r="H21" s="108"/>
      <c r="I21" s="108"/>
      <c r="J21" s="112"/>
    </row>
    <row r="22" spans="1:13" x14ac:dyDescent="0.25">
      <c r="A22" s="131"/>
      <c r="B22" s="130"/>
      <c r="C22" s="132" t="s">
        <v>60</v>
      </c>
      <c r="D22" s="133">
        <f>$D$17</f>
        <v>0</v>
      </c>
      <c r="E22" s="108" t="s">
        <v>13</v>
      </c>
      <c r="F22" s="108"/>
      <c r="G22" s="108"/>
      <c r="H22" s="108"/>
      <c r="I22" s="108"/>
      <c r="J22" s="112"/>
    </row>
    <row r="23" spans="1:13" x14ac:dyDescent="0.25">
      <c r="A23" s="134"/>
      <c r="B23" s="135"/>
      <c r="C23" s="136" t="s">
        <v>62</v>
      </c>
      <c r="D23" s="137">
        <f>ROUNDUP((0.56*D22),-1)</f>
        <v>0</v>
      </c>
      <c r="E23" s="101" t="s">
        <v>61</v>
      </c>
      <c r="F23" s="101"/>
      <c r="G23" s="101"/>
      <c r="H23" s="101"/>
      <c r="I23" s="101"/>
      <c r="J23" s="106"/>
    </row>
    <row r="25" spans="1:13" x14ac:dyDescent="0.25">
      <c r="A25" s="93" t="s">
        <v>58</v>
      </c>
      <c r="B25" s="184"/>
      <c r="C25" s="184"/>
      <c r="D25" s="95" t="s">
        <v>59</v>
      </c>
      <c r="E25" s="95"/>
      <c r="F25" s="95"/>
      <c r="G25" s="95"/>
      <c r="H25" s="95"/>
      <c r="I25" s="95"/>
      <c r="J25" s="78"/>
    </row>
    <row r="26" spans="1:13" x14ac:dyDescent="0.25">
      <c r="A26" s="93" t="s">
        <v>4</v>
      </c>
      <c r="B26" s="102"/>
      <c r="C26" s="95"/>
      <c r="D26" s="88">
        <v>0</v>
      </c>
      <c r="E26" s="95" t="s">
        <v>185</v>
      </c>
      <c r="F26" s="95"/>
      <c r="G26" s="95"/>
      <c r="H26" s="95"/>
      <c r="I26" s="95"/>
      <c r="J26" s="78"/>
    </row>
    <row r="27" spans="1:13" x14ac:dyDescent="0.25">
      <c r="A27" s="96" t="s">
        <v>113</v>
      </c>
      <c r="B27" s="97"/>
      <c r="C27" s="98"/>
      <c r="D27" s="98"/>
      <c r="E27" s="98"/>
      <c r="F27" s="98"/>
      <c r="G27" s="98"/>
      <c r="H27" s="98"/>
      <c r="I27" s="98"/>
      <c r="J27" s="99"/>
    </row>
    <row r="28" spans="1:13" ht="7.5" customHeight="1" x14ac:dyDescent="0.25">
      <c r="A28" s="129"/>
      <c r="B28" s="130"/>
      <c r="C28" s="108"/>
      <c r="D28" s="108"/>
      <c r="E28" s="108"/>
      <c r="F28" s="108"/>
      <c r="G28" s="108"/>
      <c r="H28" s="108"/>
      <c r="I28" s="108"/>
      <c r="J28" s="112"/>
    </row>
    <row r="29" spans="1:13" x14ac:dyDescent="0.25">
      <c r="A29" s="129"/>
      <c r="B29" s="130" t="s">
        <v>63</v>
      </c>
      <c r="C29" s="108"/>
      <c r="D29" s="108"/>
      <c r="E29" s="108"/>
      <c r="F29" s="108"/>
      <c r="G29" s="108"/>
      <c r="H29" s="108"/>
      <c r="I29" s="108"/>
      <c r="J29" s="112"/>
    </row>
    <row r="30" spans="1:13" ht="7.5" customHeight="1" x14ac:dyDescent="0.25">
      <c r="A30" s="129"/>
      <c r="B30" s="130"/>
      <c r="C30" s="108"/>
      <c r="D30" s="108"/>
      <c r="E30" s="108"/>
      <c r="F30" s="108"/>
      <c r="G30" s="108"/>
      <c r="H30" s="108"/>
      <c r="I30" s="108"/>
      <c r="J30" s="112"/>
    </row>
    <row r="31" spans="1:13" x14ac:dyDescent="0.25">
      <c r="A31" s="131"/>
      <c r="B31" s="130"/>
      <c r="C31" s="132" t="s">
        <v>60</v>
      </c>
      <c r="D31" s="133">
        <f>$D$26</f>
        <v>0</v>
      </c>
      <c r="E31" s="108" t="s">
        <v>13</v>
      </c>
      <c r="F31" s="108"/>
      <c r="G31" s="108"/>
      <c r="H31" s="108"/>
      <c r="I31" s="108"/>
      <c r="J31" s="112"/>
    </row>
    <row r="32" spans="1:13" x14ac:dyDescent="0.25">
      <c r="A32" s="134"/>
      <c r="B32" s="135"/>
      <c r="C32" s="136" t="s">
        <v>62</v>
      </c>
      <c r="D32" s="137">
        <f>ROUNDUP((0.56*D31),-1)</f>
        <v>0</v>
      </c>
      <c r="E32" s="101" t="s">
        <v>61</v>
      </c>
      <c r="F32" s="101"/>
      <c r="G32" s="101"/>
      <c r="H32" s="101"/>
      <c r="I32" s="101"/>
      <c r="J32" s="106"/>
    </row>
    <row r="34" spans="1:10" x14ac:dyDescent="0.25">
      <c r="A34" s="93" t="s">
        <v>58</v>
      </c>
      <c r="B34" s="184"/>
      <c r="C34" s="184"/>
      <c r="D34" s="95" t="s">
        <v>59</v>
      </c>
      <c r="E34" s="95"/>
      <c r="F34" s="95"/>
      <c r="G34" s="95"/>
      <c r="H34" s="95"/>
      <c r="I34" s="95"/>
      <c r="J34" s="78"/>
    </row>
    <row r="35" spans="1:10" x14ac:dyDescent="0.25">
      <c r="A35" s="93" t="s">
        <v>4</v>
      </c>
      <c r="B35" s="102"/>
      <c r="C35" s="95"/>
      <c r="D35" s="88">
        <v>0</v>
      </c>
      <c r="E35" s="95" t="s">
        <v>185</v>
      </c>
      <c r="F35" s="95"/>
      <c r="G35" s="95"/>
      <c r="H35" s="95"/>
      <c r="I35" s="95"/>
      <c r="J35" s="78"/>
    </row>
    <row r="36" spans="1:10" x14ac:dyDescent="0.25">
      <c r="A36" s="96" t="s">
        <v>113</v>
      </c>
      <c r="B36" s="97"/>
      <c r="C36" s="98"/>
      <c r="D36" s="98"/>
      <c r="E36" s="98"/>
      <c r="F36" s="98"/>
      <c r="G36" s="98"/>
      <c r="H36" s="98"/>
      <c r="I36" s="98"/>
      <c r="J36" s="99"/>
    </row>
    <row r="37" spans="1:10" ht="7.5" customHeight="1" x14ac:dyDescent="0.25">
      <c r="A37" s="129"/>
      <c r="B37" s="130"/>
      <c r="C37" s="108"/>
      <c r="D37" s="108"/>
      <c r="E37" s="108"/>
      <c r="F37" s="108"/>
      <c r="G37" s="108"/>
      <c r="H37" s="108"/>
      <c r="I37" s="108"/>
      <c r="J37" s="112"/>
    </row>
    <row r="38" spans="1:10" x14ac:dyDescent="0.25">
      <c r="A38" s="129"/>
      <c r="B38" s="130" t="s">
        <v>63</v>
      </c>
      <c r="C38" s="108"/>
      <c r="D38" s="108"/>
      <c r="E38" s="108"/>
      <c r="F38" s="108"/>
      <c r="G38" s="108"/>
      <c r="H38" s="108"/>
      <c r="I38" s="108"/>
      <c r="J38" s="112"/>
    </row>
    <row r="39" spans="1:10" ht="7.5" customHeight="1" x14ac:dyDescent="0.25">
      <c r="A39" s="129"/>
      <c r="B39" s="130"/>
      <c r="C39" s="108"/>
      <c r="D39" s="108"/>
      <c r="E39" s="108"/>
      <c r="F39" s="108"/>
      <c r="G39" s="108"/>
      <c r="H39" s="108"/>
      <c r="I39" s="108"/>
      <c r="J39" s="112"/>
    </row>
    <row r="40" spans="1:10" x14ac:dyDescent="0.25">
      <c r="A40" s="131"/>
      <c r="B40" s="130"/>
      <c r="C40" s="132" t="s">
        <v>60</v>
      </c>
      <c r="D40" s="133">
        <f>$D$35</f>
        <v>0</v>
      </c>
      <c r="E40" s="108" t="s">
        <v>13</v>
      </c>
      <c r="F40" s="108"/>
      <c r="G40" s="108"/>
      <c r="H40" s="108"/>
      <c r="I40" s="108"/>
      <c r="J40" s="112"/>
    </row>
    <row r="41" spans="1:10" x14ac:dyDescent="0.25">
      <c r="A41" s="134"/>
      <c r="B41" s="135"/>
      <c r="C41" s="136" t="s">
        <v>62</v>
      </c>
      <c r="D41" s="137">
        <f>ROUNDUP((0.56*D40),-1)</f>
        <v>0</v>
      </c>
      <c r="E41" s="101" t="s">
        <v>61</v>
      </c>
      <c r="F41" s="101"/>
      <c r="G41" s="101"/>
      <c r="H41" s="101"/>
      <c r="I41" s="101"/>
      <c r="J41" s="106"/>
    </row>
    <row r="43" spans="1:10" x14ac:dyDescent="0.25">
      <c r="A43" s="93" t="s">
        <v>58</v>
      </c>
      <c r="B43" s="184"/>
      <c r="C43" s="184"/>
      <c r="D43" s="95" t="s">
        <v>59</v>
      </c>
      <c r="E43" s="95"/>
      <c r="F43" s="95"/>
      <c r="G43" s="95"/>
      <c r="H43" s="95"/>
      <c r="I43" s="95"/>
      <c r="J43" s="78"/>
    </row>
    <row r="44" spans="1:10" x14ac:dyDescent="0.25">
      <c r="A44" s="93" t="s">
        <v>4</v>
      </c>
      <c r="B44" s="102"/>
      <c r="C44" s="95"/>
      <c r="D44" s="88">
        <v>0</v>
      </c>
      <c r="E44" s="95" t="s">
        <v>185</v>
      </c>
      <c r="F44" s="95"/>
      <c r="G44" s="95"/>
      <c r="H44" s="95"/>
      <c r="I44" s="95"/>
      <c r="J44" s="78"/>
    </row>
    <row r="45" spans="1:10" x14ac:dyDescent="0.25">
      <c r="A45" s="96" t="s">
        <v>113</v>
      </c>
      <c r="B45" s="97"/>
      <c r="C45" s="98"/>
      <c r="D45" s="98"/>
      <c r="E45" s="98"/>
      <c r="F45" s="98"/>
      <c r="G45" s="98"/>
      <c r="H45" s="98"/>
      <c r="I45" s="98"/>
      <c r="J45" s="99"/>
    </row>
    <row r="46" spans="1:10" ht="7.5" customHeight="1" x14ac:dyDescent="0.25">
      <c r="A46" s="129"/>
      <c r="B46" s="130"/>
      <c r="C46" s="108"/>
      <c r="D46" s="108"/>
      <c r="E46" s="108"/>
      <c r="F46" s="108"/>
      <c r="G46" s="108"/>
      <c r="H46" s="108"/>
      <c r="I46" s="108"/>
      <c r="J46" s="112"/>
    </row>
    <row r="47" spans="1:10" x14ac:dyDescent="0.25">
      <c r="A47" s="129"/>
      <c r="B47" s="130" t="s">
        <v>63</v>
      </c>
      <c r="C47" s="108"/>
      <c r="D47" s="108"/>
      <c r="E47" s="108"/>
      <c r="F47" s="108"/>
      <c r="G47" s="108"/>
      <c r="H47" s="108"/>
      <c r="I47" s="108"/>
      <c r="J47" s="112"/>
    </row>
    <row r="48" spans="1:10" ht="7.5" customHeight="1" x14ac:dyDescent="0.25">
      <c r="A48" s="129"/>
      <c r="B48" s="130"/>
      <c r="C48" s="108"/>
      <c r="D48" s="108"/>
      <c r="E48" s="108"/>
      <c r="F48" s="108"/>
      <c r="G48" s="108"/>
      <c r="H48" s="108"/>
      <c r="I48" s="108"/>
      <c r="J48" s="112"/>
    </row>
    <row r="49" spans="1:10" x14ac:dyDescent="0.25">
      <c r="A49" s="131"/>
      <c r="B49" s="130"/>
      <c r="C49" s="132" t="s">
        <v>60</v>
      </c>
      <c r="D49" s="133">
        <f>$D$44</f>
        <v>0</v>
      </c>
      <c r="E49" s="108" t="s">
        <v>13</v>
      </c>
      <c r="F49" s="108"/>
      <c r="G49" s="108"/>
      <c r="H49" s="108"/>
      <c r="I49" s="108"/>
      <c r="J49" s="112"/>
    </row>
    <row r="50" spans="1:10" x14ac:dyDescent="0.25">
      <c r="A50" s="134"/>
      <c r="B50" s="135"/>
      <c r="C50" s="136" t="s">
        <v>62</v>
      </c>
      <c r="D50" s="137">
        <f>ROUNDUP((0.56*D49),-1)</f>
        <v>0</v>
      </c>
      <c r="E50" s="101" t="s">
        <v>61</v>
      </c>
      <c r="F50" s="101"/>
      <c r="G50" s="101"/>
      <c r="H50" s="101"/>
      <c r="I50" s="101"/>
      <c r="J50" s="106"/>
    </row>
    <row r="52" spans="1:10" ht="29.25" customHeight="1" x14ac:dyDescent="0.25">
      <c r="A52" s="175" t="s">
        <v>242</v>
      </c>
      <c r="B52" s="176"/>
      <c r="C52" s="176"/>
      <c r="D52" s="176"/>
      <c r="E52" s="176"/>
      <c r="F52" s="176"/>
      <c r="G52" s="176"/>
      <c r="H52" s="119">
        <f>D13+D22+D31+D40+D49</f>
        <v>0</v>
      </c>
      <c r="I52" s="120" t="s">
        <v>13</v>
      </c>
      <c r="J52" s="121"/>
    </row>
  </sheetData>
  <sheetProtection sheet="1" objects="1" scenarios="1" selectLockedCells="1"/>
  <mergeCells count="12">
    <mergeCell ref="A52:G52"/>
    <mergeCell ref="B16:C16"/>
    <mergeCell ref="B25:C25"/>
    <mergeCell ref="B34:C34"/>
    <mergeCell ref="B43:C43"/>
    <mergeCell ref="A1:J1"/>
    <mergeCell ref="A2:I2"/>
    <mergeCell ref="B7:C7"/>
    <mergeCell ref="A4:C4"/>
    <mergeCell ref="D4:J4"/>
    <mergeCell ref="A5:C5"/>
    <mergeCell ref="D5:J5"/>
  </mergeCells>
  <pageMargins left="0.5" right="0.5" top="0.5" bottom="0.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zoomScaleNormal="100" workbookViewId="0">
      <selection activeCell="D34" activeCellId="5" sqref="B13:C13 D14:D16 B23:C23 D24:D26 B33:C33 D34:D36"/>
    </sheetView>
  </sheetViews>
  <sheetFormatPr defaultRowHeight="15" x14ac:dyDescent="0.25"/>
  <cols>
    <col min="1" max="4" width="9.140625" style="125"/>
    <col min="5" max="5" width="9.140625" style="125" customWidth="1"/>
    <col min="6" max="16384" width="9.140625" style="125"/>
  </cols>
  <sheetData>
    <row r="1" spans="1:10" x14ac:dyDescent="0.25">
      <c r="A1" s="167" t="s">
        <v>33</v>
      </c>
      <c r="B1" s="167"/>
      <c r="C1" s="167"/>
      <c r="D1" s="167"/>
      <c r="E1" s="167"/>
      <c r="F1" s="167"/>
      <c r="G1" s="167"/>
      <c r="H1" s="167"/>
      <c r="I1" s="167"/>
      <c r="J1" s="167"/>
    </row>
    <row r="2" spans="1:10" x14ac:dyDescent="0.25">
      <c r="A2" s="167" t="s">
        <v>65</v>
      </c>
      <c r="B2" s="167"/>
      <c r="C2" s="167"/>
      <c r="D2" s="167"/>
      <c r="E2" s="167"/>
      <c r="F2" s="167"/>
      <c r="G2" s="167"/>
      <c r="H2" s="167"/>
      <c r="I2" s="167"/>
    </row>
    <row r="4" spans="1:10" x14ac:dyDescent="0.25">
      <c r="A4" s="198" t="s">
        <v>30</v>
      </c>
      <c r="B4" s="198"/>
      <c r="C4" s="198"/>
      <c r="D4" s="190" t="str">
        <f>'1-Project Information'!C4</f>
        <v>BETA-001</v>
      </c>
      <c r="E4" s="190"/>
      <c r="F4" s="190"/>
      <c r="G4" s="190"/>
      <c r="H4" s="190"/>
      <c r="I4" s="190"/>
      <c r="J4" s="190"/>
    </row>
    <row r="5" spans="1:10" x14ac:dyDescent="0.25">
      <c r="A5" s="198" t="s">
        <v>35</v>
      </c>
      <c r="B5" s="198"/>
      <c r="C5" s="198"/>
      <c r="D5" s="191">
        <f>'1-Project Information'!C5</f>
        <v>42278</v>
      </c>
      <c r="E5" s="191"/>
      <c r="F5" s="191"/>
      <c r="G5" s="191"/>
      <c r="H5" s="191"/>
      <c r="I5" s="191"/>
      <c r="J5" s="191"/>
    </row>
    <row r="7" spans="1:10" x14ac:dyDescent="0.25">
      <c r="A7" s="96" t="s">
        <v>85</v>
      </c>
      <c r="B7" s="97"/>
      <c r="C7" s="98"/>
      <c r="D7" s="98"/>
      <c r="E7" s="99"/>
      <c r="F7" s="127"/>
      <c r="G7" s="127"/>
      <c r="H7" s="127"/>
      <c r="I7" s="127"/>
    </row>
    <row r="8" spans="1:10" ht="30.75" customHeight="1" x14ac:dyDescent="0.25">
      <c r="A8" s="139"/>
      <c r="B8" s="127"/>
      <c r="C8" s="127"/>
      <c r="D8" s="199" t="s">
        <v>71</v>
      </c>
      <c r="E8" s="199"/>
      <c r="F8" s="127"/>
      <c r="G8" s="127"/>
      <c r="H8" s="127"/>
      <c r="I8" s="127"/>
    </row>
    <row r="9" spans="1:10" ht="24" x14ac:dyDescent="0.25">
      <c r="A9" s="200" t="s">
        <v>72</v>
      </c>
      <c r="B9" s="200"/>
      <c r="C9" s="200"/>
      <c r="D9" s="140" t="s">
        <v>73</v>
      </c>
      <c r="E9" s="140" t="s">
        <v>74</v>
      </c>
      <c r="F9" s="127"/>
      <c r="G9" s="127"/>
      <c r="H9" s="127"/>
      <c r="I9" s="127"/>
    </row>
    <row r="10" spans="1:10" x14ac:dyDescent="0.25">
      <c r="A10" s="201" t="s">
        <v>75</v>
      </c>
      <c r="B10" s="201"/>
      <c r="C10" s="201"/>
      <c r="D10" s="141" t="s">
        <v>76</v>
      </c>
      <c r="E10" s="141" t="s">
        <v>77</v>
      </c>
      <c r="F10" s="127"/>
      <c r="G10" s="127"/>
      <c r="H10" s="127"/>
      <c r="I10" s="127"/>
    </row>
    <row r="11" spans="1:10" x14ac:dyDescent="0.25">
      <c r="A11" s="201" t="s">
        <v>78</v>
      </c>
      <c r="B11" s="201"/>
      <c r="C11" s="201"/>
      <c r="D11" s="141" t="s">
        <v>79</v>
      </c>
      <c r="E11" s="141" t="s">
        <v>80</v>
      </c>
      <c r="F11" s="127"/>
      <c r="G11" s="127"/>
      <c r="H11" s="127"/>
      <c r="I11" s="127"/>
    </row>
    <row r="12" spans="1:10" x14ac:dyDescent="0.25">
      <c r="A12" s="127"/>
      <c r="B12" s="127"/>
      <c r="C12" s="127"/>
      <c r="D12" s="127"/>
      <c r="E12" s="127"/>
      <c r="F12" s="127"/>
      <c r="G12" s="127"/>
      <c r="H12" s="127"/>
      <c r="I12" s="127"/>
    </row>
    <row r="13" spans="1:10" x14ac:dyDescent="0.25">
      <c r="A13" s="93" t="s">
        <v>58</v>
      </c>
      <c r="B13" s="184"/>
      <c r="C13" s="184"/>
      <c r="D13" s="95" t="s">
        <v>59</v>
      </c>
      <c r="E13" s="95"/>
      <c r="F13" s="95"/>
      <c r="G13" s="95"/>
      <c r="H13" s="95"/>
      <c r="I13" s="95"/>
      <c r="J13" s="121"/>
    </row>
    <row r="14" spans="1:10" x14ac:dyDescent="0.25">
      <c r="A14" s="93" t="s">
        <v>70</v>
      </c>
      <c r="B14" s="102"/>
      <c r="C14" s="95"/>
      <c r="D14" s="88">
        <v>0</v>
      </c>
      <c r="E14" s="95" t="s">
        <v>64</v>
      </c>
      <c r="F14" s="95"/>
      <c r="G14" s="95"/>
      <c r="H14" s="95"/>
      <c r="I14" s="95"/>
      <c r="J14" s="121"/>
    </row>
    <row r="15" spans="1:10" x14ac:dyDescent="0.25">
      <c r="A15" s="93" t="s">
        <v>66</v>
      </c>
      <c r="B15" s="102"/>
      <c r="C15" s="95"/>
      <c r="D15" s="88">
        <v>0</v>
      </c>
      <c r="E15" s="95" t="s">
        <v>67</v>
      </c>
      <c r="F15" s="95"/>
      <c r="G15" s="95"/>
      <c r="H15" s="95"/>
      <c r="I15" s="95"/>
      <c r="J15" s="121"/>
    </row>
    <row r="16" spans="1:10" x14ac:dyDescent="0.25">
      <c r="A16" s="93" t="s">
        <v>68</v>
      </c>
      <c r="B16" s="102"/>
      <c r="C16" s="95"/>
      <c r="D16" s="138">
        <v>0.5</v>
      </c>
      <c r="E16" s="95" t="s">
        <v>69</v>
      </c>
      <c r="F16" s="95"/>
      <c r="G16" s="95"/>
      <c r="H16" s="95"/>
      <c r="I16" s="95"/>
      <c r="J16" s="121"/>
    </row>
    <row r="17" spans="1:10" x14ac:dyDescent="0.25">
      <c r="A17" s="96" t="s">
        <v>113</v>
      </c>
      <c r="B17" s="97"/>
      <c r="C17" s="98"/>
      <c r="D17" s="98"/>
      <c r="E17" s="98"/>
      <c r="F17" s="98"/>
      <c r="G17" s="98"/>
      <c r="H17" s="98"/>
      <c r="I17" s="98"/>
      <c r="J17" s="142"/>
    </row>
    <row r="18" spans="1:10" x14ac:dyDescent="0.25">
      <c r="A18" s="129" t="s">
        <v>81</v>
      </c>
      <c r="B18" s="130"/>
      <c r="C18" s="108"/>
      <c r="D18" s="108"/>
      <c r="E18" s="108"/>
      <c r="F18" s="108"/>
      <c r="G18" s="143">
        <v>12</v>
      </c>
      <c r="H18" s="108" t="s">
        <v>82</v>
      </c>
      <c r="I18" s="108"/>
      <c r="J18" s="144"/>
    </row>
    <row r="19" spans="1:10" x14ac:dyDescent="0.25">
      <c r="A19" s="129" t="s">
        <v>83</v>
      </c>
      <c r="B19" s="130"/>
      <c r="C19" s="108"/>
      <c r="D19" s="108"/>
      <c r="E19" s="108"/>
      <c r="F19" s="108"/>
      <c r="G19" s="145">
        <f>IF(D24&gt;1000,"Rooftop Too Large",IF(AND(D15&lt;8,D16&gt;=0.5),35,IF(AND(D15&gt;=8,D15&lt;=15,D16&gt;=0.5),50,IF(AND(D15&lt;8,D16&lt;0.5),65,IF(AND(D15&gt;=8,D15&lt;=15,D16&lt;0.5),85,"Not Allowed")))))</f>
        <v>35</v>
      </c>
      <c r="H19" s="108" t="s">
        <v>82</v>
      </c>
      <c r="I19" s="108"/>
      <c r="J19" s="144"/>
    </row>
    <row r="20" spans="1:10" x14ac:dyDescent="0.25">
      <c r="A20" s="129"/>
      <c r="B20" s="130"/>
      <c r="C20" s="108"/>
      <c r="D20" s="108"/>
      <c r="E20" s="108"/>
      <c r="F20" s="108"/>
      <c r="G20" s="108"/>
      <c r="H20" s="108"/>
      <c r="I20" s="108"/>
      <c r="J20" s="144"/>
    </row>
    <row r="21" spans="1:10" x14ac:dyDescent="0.25">
      <c r="A21" s="146" t="s">
        <v>84</v>
      </c>
      <c r="B21" s="135"/>
      <c r="C21" s="101"/>
      <c r="D21" s="147" t="str">
        <f>IF(D15&gt;8,"REQUIRED", "NOT REQUIRED")</f>
        <v>NOT REQUIRED</v>
      </c>
      <c r="E21" s="148"/>
      <c r="F21" s="101"/>
      <c r="G21" s="101"/>
      <c r="H21" s="101"/>
      <c r="I21" s="101"/>
      <c r="J21" s="149"/>
    </row>
    <row r="22" spans="1:10" x14ac:dyDescent="0.25">
      <c r="A22" s="130"/>
      <c r="B22" s="130"/>
      <c r="C22" s="108"/>
      <c r="D22" s="108"/>
      <c r="E22" s="108"/>
      <c r="F22" s="108"/>
      <c r="G22" s="108"/>
      <c r="H22" s="108"/>
      <c r="I22" s="108"/>
    </row>
    <row r="23" spans="1:10" x14ac:dyDescent="0.25">
      <c r="A23" s="93" t="s">
        <v>58</v>
      </c>
      <c r="B23" s="184"/>
      <c r="C23" s="184"/>
      <c r="D23" s="95" t="s">
        <v>59</v>
      </c>
      <c r="E23" s="95"/>
      <c r="F23" s="95"/>
      <c r="G23" s="95"/>
      <c r="H23" s="95"/>
      <c r="I23" s="95"/>
      <c r="J23" s="121"/>
    </row>
    <row r="24" spans="1:10" x14ac:dyDescent="0.25">
      <c r="A24" s="93" t="s">
        <v>70</v>
      </c>
      <c r="B24" s="102"/>
      <c r="C24" s="95"/>
      <c r="D24" s="88">
        <v>0</v>
      </c>
      <c r="E24" s="95" t="s">
        <v>64</v>
      </c>
      <c r="F24" s="95"/>
      <c r="G24" s="95"/>
      <c r="H24" s="95"/>
      <c r="I24" s="95"/>
      <c r="J24" s="121"/>
    </row>
    <row r="25" spans="1:10" x14ac:dyDescent="0.25">
      <c r="A25" s="93" t="s">
        <v>66</v>
      </c>
      <c r="B25" s="102"/>
      <c r="C25" s="95"/>
      <c r="D25" s="88">
        <v>0</v>
      </c>
      <c r="E25" s="95" t="s">
        <v>67</v>
      </c>
      <c r="F25" s="95"/>
      <c r="G25" s="95"/>
      <c r="H25" s="95"/>
      <c r="I25" s="95"/>
      <c r="J25" s="121"/>
    </row>
    <row r="26" spans="1:10" x14ac:dyDescent="0.25">
      <c r="A26" s="93" t="s">
        <v>68</v>
      </c>
      <c r="B26" s="102"/>
      <c r="C26" s="95"/>
      <c r="D26" s="138">
        <v>0.5</v>
      </c>
      <c r="E26" s="95" t="s">
        <v>69</v>
      </c>
      <c r="F26" s="95"/>
      <c r="G26" s="95"/>
      <c r="H26" s="95"/>
      <c r="I26" s="95"/>
      <c r="J26" s="121"/>
    </row>
    <row r="27" spans="1:10" x14ac:dyDescent="0.25">
      <c r="A27" s="96" t="s">
        <v>113</v>
      </c>
      <c r="B27" s="97"/>
      <c r="C27" s="98"/>
      <c r="D27" s="98"/>
      <c r="E27" s="98"/>
      <c r="F27" s="98"/>
      <c r="G27" s="98"/>
      <c r="H27" s="98"/>
      <c r="I27" s="98"/>
      <c r="J27" s="142"/>
    </row>
    <row r="28" spans="1:10" x14ac:dyDescent="0.25">
      <c r="A28" s="129" t="s">
        <v>81</v>
      </c>
      <c r="B28" s="130"/>
      <c r="C28" s="108"/>
      <c r="D28" s="108"/>
      <c r="E28" s="108"/>
      <c r="F28" s="108"/>
      <c r="G28" s="143">
        <v>12</v>
      </c>
      <c r="H28" s="108" t="s">
        <v>82</v>
      </c>
      <c r="I28" s="108"/>
      <c r="J28" s="144"/>
    </row>
    <row r="29" spans="1:10" x14ac:dyDescent="0.25">
      <c r="A29" s="129" t="s">
        <v>83</v>
      </c>
      <c r="B29" s="130"/>
      <c r="C29" s="108"/>
      <c r="D29" s="108"/>
      <c r="E29" s="108"/>
      <c r="F29" s="108"/>
      <c r="G29" s="145">
        <f>IF(D24&gt;1000,"Rooftop Too Large",IF(AND(D25&lt;8,D26&gt;=0.5),35,IF(AND(D25&gt;=8,D25&lt;=15,D26&gt;=0.5),50,IF(AND(D25&lt;8,D26&lt;0.5),65,IF(AND(D25&gt;=8,D25&lt;=15,D26&lt;0.5),85,"Not Allowed")))))</f>
        <v>35</v>
      </c>
      <c r="H29" s="108" t="s">
        <v>82</v>
      </c>
      <c r="I29" s="108"/>
      <c r="J29" s="144"/>
    </row>
    <row r="30" spans="1:10" x14ac:dyDescent="0.25">
      <c r="A30" s="129"/>
      <c r="B30" s="130"/>
      <c r="C30" s="108"/>
      <c r="D30" s="108"/>
      <c r="E30" s="108"/>
      <c r="F30" s="108"/>
      <c r="G30" s="108"/>
      <c r="H30" s="108"/>
      <c r="I30" s="108"/>
      <c r="J30" s="144"/>
    </row>
    <row r="31" spans="1:10" x14ac:dyDescent="0.25">
      <c r="A31" s="146" t="s">
        <v>84</v>
      </c>
      <c r="B31" s="135"/>
      <c r="C31" s="101"/>
      <c r="D31" s="147" t="str">
        <f>IF(D25&gt;8,"REQUIRED", "NOT REQUIRED")</f>
        <v>NOT REQUIRED</v>
      </c>
      <c r="E31" s="148"/>
      <c r="F31" s="101"/>
      <c r="G31" s="101"/>
      <c r="H31" s="101"/>
      <c r="I31" s="101"/>
      <c r="J31" s="149"/>
    </row>
    <row r="33" spans="1:10" x14ac:dyDescent="0.25">
      <c r="A33" s="93" t="s">
        <v>58</v>
      </c>
      <c r="B33" s="184"/>
      <c r="C33" s="184"/>
      <c r="D33" s="95" t="s">
        <v>59</v>
      </c>
      <c r="E33" s="95"/>
      <c r="F33" s="95"/>
      <c r="G33" s="95"/>
      <c r="H33" s="95"/>
      <c r="I33" s="95"/>
      <c r="J33" s="121"/>
    </row>
    <row r="34" spans="1:10" x14ac:dyDescent="0.25">
      <c r="A34" s="93" t="s">
        <v>70</v>
      </c>
      <c r="B34" s="102"/>
      <c r="C34" s="95"/>
      <c r="D34" s="88">
        <v>0</v>
      </c>
      <c r="E34" s="95" t="s">
        <v>64</v>
      </c>
      <c r="F34" s="95"/>
      <c r="G34" s="95"/>
      <c r="H34" s="95"/>
      <c r="I34" s="95"/>
      <c r="J34" s="121"/>
    </row>
    <row r="35" spans="1:10" x14ac:dyDescent="0.25">
      <c r="A35" s="93" t="s">
        <v>66</v>
      </c>
      <c r="B35" s="102"/>
      <c r="C35" s="95"/>
      <c r="D35" s="88">
        <v>0</v>
      </c>
      <c r="E35" s="95" t="s">
        <v>67</v>
      </c>
      <c r="F35" s="95"/>
      <c r="G35" s="95"/>
      <c r="H35" s="95"/>
      <c r="I35" s="95"/>
      <c r="J35" s="121"/>
    </row>
    <row r="36" spans="1:10" x14ac:dyDescent="0.25">
      <c r="A36" s="93" t="s">
        <v>68</v>
      </c>
      <c r="B36" s="102"/>
      <c r="C36" s="95"/>
      <c r="D36" s="138">
        <v>0.5</v>
      </c>
      <c r="E36" s="95" t="s">
        <v>69</v>
      </c>
      <c r="F36" s="95"/>
      <c r="G36" s="95"/>
      <c r="H36" s="95"/>
      <c r="I36" s="95"/>
      <c r="J36" s="121"/>
    </row>
    <row r="37" spans="1:10" x14ac:dyDescent="0.25">
      <c r="A37" s="96" t="s">
        <v>113</v>
      </c>
      <c r="B37" s="97"/>
      <c r="C37" s="98"/>
      <c r="D37" s="98"/>
      <c r="E37" s="98"/>
      <c r="F37" s="98"/>
      <c r="G37" s="98"/>
      <c r="H37" s="98"/>
      <c r="I37" s="98"/>
      <c r="J37" s="142"/>
    </row>
    <row r="38" spans="1:10" x14ac:dyDescent="0.25">
      <c r="A38" s="129" t="s">
        <v>81</v>
      </c>
      <c r="B38" s="130"/>
      <c r="C38" s="108"/>
      <c r="D38" s="108"/>
      <c r="E38" s="108"/>
      <c r="F38" s="108"/>
      <c r="G38" s="143">
        <v>12</v>
      </c>
      <c r="H38" s="108" t="s">
        <v>82</v>
      </c>
      <c r="I38" s="108"/>
      <c r="J38" s="144"/>
    </row>
    <row r="39" spans="1:10" x14ac:dyDescent="0.25">
      <c r="A39" s="129" t="s">
        <v>83</v>
      </c>
      <c r="B39" s="130"/>
      <c r="C39" s="108"/>
      <c r="D39" s="108"/>
      <c r="E39" s="108"/>
      <c r="F39" s="108"/>
      <c r="G39" s="145">
        <f>IF(D24&gt;1000,"Rooftop Too Large",IF(AND(D35&lt;8,D36&gt;=0.5),35,IF(AND(D35&gt;=8,D35&lt;=15,D36&gt;=0.5),50,IF(AND(D35&lt;8,D36&lt;0.5),65,IF(AND(D35&gt;=8,D35&lt;=15,D36&lt;0.5),85,"Not Allowed")))))</f>
        <v>35</v>
      </c>
      <c r="H39" s="108" t="s">
        <v>82</v>
      </c>
      <c r="I39" s="108"/>
      <c r="J39" s="144"/>
    </row>
    <row r="40" spans="1:10" x14ac:dyDescent="0.25">
      <c r="A40" s="129"/>
      <c r="B40" s="130"/>
      <c r="C40" s="108"/>
      <c r="D40" s="108"/>
      <c r="E40" s="108"/>
      <c r="F40" s="108"/>
      <c r="G40" s="108"/>
      <c r="H40" s="108"/>
      <c r="I40" s="108"/>
      <c r="J40" s="144"/>
    </row>
    <row r="41" spans="1:10" x14ac:dyDescent="0.25">
      <c r="A41" s="146" t="s">
        <v>84</v>
      </c>
      <c r="B41" s="135"/>
      <c r="C41" s="101"/>
      <c r="D41" s="147" t="str">
        <f>IF(D35&gt;8,"REQUIRED", "NOT REQUIRED")</f>
        <v>NOT REQUIRED</v>
      </c>
      <c r="E41" s="148"/>
      <c r="F41" s="101"/>
      <c r="G41" s="101"/>
      <c r="H41" s="101"/>
      <c r="I41" s="101"/>
      <c r="J41" s="149"/>
    </row>
    <row r="43" spans="1:10" ht="29.25" customHeight="1" x14ac:dyDescent="0.25">
      <c r="A43" s="175" t="s">
        <v>243</v>
      </c>
      <c r="B43" s="176"/>
      <c r="C43" s="176"/>
      <c r="D43" s="176"/>
      <c r="E43" s="176"/>
      <c r="F43" s="176"/>
      <c r="G43" s="176"/>
      <c r="H43" s="119">
        <f>D14+D24+D34</f>
        <v>0</v>
      </c>
      <c r="I43" s="120" t="s">
        <v>13</v>
      </c>
      <c r="J43" s="121"/>
    </row>
  </sheetData>
  <sheetProtection sheet="1" objects="1" scenarios="1" selectLockedCells="1"/>
  <mergeCells count="14">
    <mergeCell ref="A43:G43"/>
    <mergeCell ref="A1:J1"/>
    <mergeCell ref="A4:C4"/>
    <mergeCell ref="D4:J4"/>
    <mergeCell ref="A5:C5"/>
    <mergeCell ref="D5:J5"/>
    <mergeCell ref="A2:I2"/>
    <mergeCell ref="B33:C33"/>
    <mergeCell ref="B23:C23"/>
    <mergeCell ref="B13:C13"/>
    <mergeCell ref="D8:E8"/>
    <mergeCell ref="A9:C9"/>
    <mergeCell ref="A10:C10"/>
    <mergeCell ref="A11:C11"/>
  </mergeCells>
  <pageMargins left="0.5" right="0.5" top="0.5" bottom="0.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zoomScaleNormal="100" workbookViewId="0">
      <selection activeCell="D39" activeCellId="5" sqref="B15:C15 D16:D19 D22:D23 B32:C32 D33:D36 D39:D40"/>
    </sheetView>
  </sheetViews>
  <sheetFormatPr defaultRowHeight="15" x14ac:dyDescent="0.25"/>
  <cols>
    <col min="1" max="2" width="9.140625" style="125"/>
    <col min="3" max="3" width="11.42578125" style="125" customWidth="1"/>
    <col min="4" max="4" width="9.140625" style="125"/>
    <col min="5" max="5" width="9.140625" style="125" customWidth="1"/>
    <col min="6" max="6" width="10.85546875" style="125" customWidth="1"/>
    <col min="7" max="15" width="9.140625" style="125"/>
    <col min="16" max="16" width="17.5703125" style="125" customWidth="1"/>
    <col min="17" max="17" width="23.28515625" style="125" customWidth="1"/>
    <col min="18" max="18" width="25.42578125" style="125" customWidth="1"/>
    <col min="19" max="16384" width="9.140625" style="125"/>
  </cols>
  <sheetData>
    <row r="1" spans="1:10" x14ac:dyDescent="0.25">
      <c r="A1" s="167" t="s">
        <v>33</v>
      </c>
      <c r="B1" s="167"/>
      <c r="C1" s="167"/>
      <c r="D1" s="167"/>
      <c r="E1" s="167"/>
      <c r="F1" s="167"/>
      <c r="G1" s="167"/>
      <c r="H1" s="167"/>
      <c r="I1" s="167"/>
      <c r="J1" s="167"/>
    </row>
    <row r="2" spans="1:10" x14ac:dyDescent="0.25">
      <c r="A2" s="167" t="s">
        <v>117</v>
      </c>
      <c r="B2" s="167"/>
      <c r="C2" s="167"/>
      <c r="D2" s="167"/>
      <c r="E2" s="167"/>
      <c r="F2" s="167"/>
      <c r="G2" s="167"/>
      <c r="H2" s="167"/>
      <c r="I2" s="167"/>
    </row>
    <row r="3" spans="1:10" ht="7.5" customHeight="1" x14ac:dyDescent="0.25"/>
    <row r="4" spans="1:10" x14ac:dyDescent="0.25">
      <c r="A4" s="189" t="s">
        <v>30</v>
      </c>
      <c r="B4" s="189"/>
      <c r="C4" s="189"/>
      <c r="D4" s="190" t="str">
        <f>'1-Project Information'!C4</f>
        <v>BETA-001</v>
      </c>
      <c r="E4" s="190"/>
      <c r="F4" s="190"/>
      <c r="G4" s="190"/>
      <c r="H4" s="190"/>
      <c r="I4" s="190"/>
      <c r="J4" s="190"/>
    </row>
    <row r="5" spans="1:10" x14ac:dyDescent="0.25">
      <c r="A5" s="189" t="s">
        <v>35</v>
      </c>
      <c r="B5" s="189"/>
      <c r="C5" s="189"/>
      <c r="D5" s="191">
        <f>'1-Project Information'!C5</f>
        <v>42278</v>
      </c>
      <c r="E5" s="191"/>
      <c r="F5" s="191"/>
      <c r="G5" s="191"/>
      <c r="H5" s="191"/>
      <c r="I5" s="191"/>
      <c r="J5" s="191"/>
    </row>
    <row r="6" spans="1:10" ht="7.5" customHeight="1" x14ac:dyDescent="0.25"/>
    <row r="7" spans="1:10" ht="15.75" customHeight="1" x14ac:dyDescent="0.25">
      <c r="A7" s="96" t="s">
        <v>85</v>
      </c>
      <c r="B7" s="152"/>
      <c r="C7" s="152"/>
      <c r="D7" s="152"/>
      <c r="E7" s="152"/>
      <c r="F7" s="152"/>
      <c r="G7" s="152"/>
      <c r="H7" s="152"/>
      <c r="I7" s="142"/>
    </row>
    <row r="8" spans="1:10" ht="30.75" customHeight="1" x14ac:dyDescent="0.25">
      <c r="A8" s="204" t="s">
        <v>86</v>
      </c>
      <c r="B8" s="204"/>
      <c r="C8" s="204"/>
      <c r="D8" s="204"/>
      <c r="E8" s="204" t="s">
        <v>87</v>
      </c>
      <c r="F8" s="204"/>
      <c r="G8" s="204" t="s">
        <v>106</v>
      </c>
      <c r="H8" s="204"/>
      <c r="I8" s="204"/>
    </row>
    <row r="9" spans="1:10" ht="27" customHeight="1" x14ac:dyDescent="0.25">
      <c r="A9" s="204" t="s">
        <v>88</v>
      </c>
      <c r="B9" s="204"/>
      <c r="C9" s="204" t="s">
        <v>105</v>
      </c>
      <c r="D9" s="204"/>
      <c r="E9" s="204"/>
      <c r="F9" s="204"/>
      <c r="G9" s="140" t="s">
        <v>89</v>
      </c>
      <c r="H9" s="140" t="s">
        <v>90</v>
      </c>
      <c r="I9" s="140" t="s">
        <v>91</v>
      </c>
    </row>
    <row r="10" spans="1:10" ht="15.75" customHeight="1" x14ac:dyDescent="0.25">
      <c r="A10" s="205" t="s">
        <v>101</v>
      </c>
      <c r="B10" s="205"/>
      <c r="C10" s="202" t="s">
        <v>92</v>
      </c>
      <c r="D10" s="202"/>
      <c r="E10" s="202" t="s">
        <v>93</v>
      </c>
      <c r="F10" s="202"/>
      <c r="G10" s="202" t="s">
        <v>103</v>
      </c>
      <c r="H10" s="202"/>
      <c r="I10" s="202"/>
    </row>
    <row r="11" spans="1:10" ht="15.75" customHeight="1" x14ac:dyDescent="0.25">
      <c r="A11" s="205"/>
      <c r="B11" s="205"/>
      <c r="C11" s="202"/>
      <c r="D11" s="202"/>
      <c r="E11" s="202" t="s">
        <v>94</v>
      </c>
      <c r="F11" s="202"/>
      <c r="G11" s="202" t="s">
        <v>102</v>
      </c>
      <c r="H11" s="202"/>
      <c r="I11" s="202"/>
    </row>
    <row r="12" spans="1:10" ht="15.75" customHeight="1" x14ac:dyDescent="0.25">
      <c r="A12" s="202" t="s">
        <v>95</v>
      </c>
      <c r="B12" s="202"/>
      <c r="C12" s="202" t="s">
        <v>96</v>
      </c>
      <c r="D12" s="202"/>
      <c r="E12" s="202" t="s">
        <v>93</v>
      </c>
      <c r="F12" s="202"/>
      <c r="G12" s="141" t="s">
        <v>76</v>
      </c>
      <c r="H12" s="141" t="s">
        <v>77</v>
      </c>
      <c r="I12" s="141" t="s">
        <v>79</v>
      </c>
    </row>
    <row r="13" spans="1:10" ht="15.75" customHeight="1" x14ac:dyDescent="0.25">
      <c r="A13" s="202"/>
      <c r="B13" s="202"/>
      <c r="C13" s="202"/>
      <c r="D13" s="202"/>
      <c r="E13" s="202" t="s">
        <v>94</v>
      </c>
      <c r="F13" s="202"/>
      <c r="G13" s="141" t="s">
        <v>79</v>
      </c>
      <c r="H13" s="141" t="s">
        <v>80</v>
      </c>
      <c r="I13" s="141" t="s">
        <v>97</v>
      </c>
    </row>
    <row r="14" spans="1:10" ht="7.5" customHeight="1" x14ac:dyDescent="0.25">
      <c r="A14" s="127"/>
      <c r="B14" s="127"/>
      <c r="C14" s="127"/>
      <c r="D14" s="127"/>
      <c r="E14" s="127"/>
      <c r="F14" s="127"/>
      <c r="G14" s="127"/>
      <c r="H14" s="127"/>
      <c r="I14" s="127"/>
    </row>
    <row r="15" spans="1:10" x14ac:dyDescent="0.25">
      <c r="A15" s="93" t="s">
        <v>58</v>
      </c>
      <c r="B15" s="203"/>
      <c r="C15" s="203"/>
      <c r="D15" s="95"/>
      <c r="E15" s="95"/>
      <c r="F15" s="95"/>
      <c r="G15" s="95"/>
      <c r="H15" s="95"/>
      <c r="I15" s="95"/>
      <c r="J15" s="121"/>
    </row>
    <row r="16" spans="1:10" x14ac:dyDescent="0.25">
      <c r="A16" s="93" t="s">
        <v>108</v>
      </c>
      <c r="B16" s="95"/>
      <c r="C16" s="95"/>
      <c r="D16" s="150"/>
      <c r="E16" s="95"/>
      <c r="F16" s="95"/>
      <c r="G16" s="95"/>
      <c r="H16" s="95"/>
      <c r="I16" s="95"/>
      <c r="J16" s="121"/>
    </row>
    <row r="17" spans="1:10" x14ac:dyDescent="0.25">
      <c r="A17" s="93" t="s">
        <v>109</v>
      </c>
      <c r="B17" s="95"/>
      <c r="C17" s="95"/>
      <c r="D17" s="150">
        <v>0</v>
      </c>
      <c r="E17" s="95" t="s">
        <v>110</v>
      </c>
      <c r="F17" s="95"/>
      <c r="G17" s="95"/>
      <c r="H17" s="95"/>
      <c r="I17" s="95"/>
      <c r="J17" s="121"/>
    </row>
    <row r="18" spans="1:10" x14ac:dyDescent="0.25">
      <c r="A18" s="93" t="s">
        <v>111</v>
      </c>
      <c r="B18" s="95"/>
      <c r="C18" s="95"/>
      <c r="D18" s="150">
        <v>0</v>
      </c>
      <c r="E18" s="95" t="s">
        <v>115</v>
      </c>
      <c r="F18" s="95"/>
      <c r="G18" s="95"/>
      <c r="H18" s="95"/>
      <c r="I18" s="95"/>
      <c r="J18" s="121"/>
    </row>
    <row r="19" spans="1:10" ht="26.25" customHeight="1" x14ac:dyDescent="0.25">
      <c r="A19" s="206" t="s">
        <v>229</v>
      </c>
      <c r="B19" s="207"/>
      <c r="C19" s="207"/>
      <c r="D19" s="151">
        <v>0</v>
      </c>
      <c r="E19" s="208" t="s">
        <v>230</v>
      </c>
      <c r="F19" s="208"/>
      <c r="G19" s="208"/>
      <c r="H19" s="208"/>
      <c r="I19" s="208"/>
      <c r="J19" s="209"/>
    </row>
    <row r="20" spans="1:10" ht="26.25" customHeight="1" x14ac:dyDescent="0.25">
      <c r="A20" s="206" t="s">
        <v>245</v>
      </c>
      <c r="B20" s="207"/>
      <c r="C20" s="207"/>
      <c r="D20" s="153">
        <f>(D17*D18)-D19</f>
        <v>0</v>
      </c>
      <c r="E20" s="95" t="s">
        <v>98</v>
      </c>
      <c r="F20" s="95"/>
      <c r="G20" s="95"/>
      <c r="H20" s="95"/>
      <c r="I20" s="95"/>
      <c r="J20" s="121"/>
    </row>
    <row r="21" spans="1:10" ht="26.25" hidden="1" customHeight="1" x14ac:dyDescent="0.25">
      <c r="A21" s="206"/>
      <c r="B21" s="207"/>
      <c r="C21" s="207"/>
      <c r="D21" s="128"/>
      <c r="E21" s="208"/>
      <c r="F21" s="208"/>
      <c r="G21" s="208"/>
      <c r="H21" s="208"/>
      <c r="I21" s="208"/>
      <c r="J21" s="209"/>
    </row>
    <row r="22" spans="1:10" x14ac:dyDescent="0.25">
      <c r="A22" s="93" t="s">
        <v>100</v>
      </c>
      <c r="B22" s="102"/>
      <c r="C22" s="95"/>
      <c r="D22" s="88">
        <v>1</v>
      </c>
      <c r="E22" s="95" t="s">
        <v>67</v>
      </c>
      <c r="F22" s="95"/>
      <c r="G22" s="95"/>
      <c r="H22" s="95"/>
      <c r="I22" s="95"/>
      <c r="J22" s="121"/>
    </row>
    <row r="23" spans="1:10" x14ac:dyDescent="0.25">
      <c r="A23" s="93" t="s">
        <v>68</v>
      </c>
      <c r="B23" s="102"/>
      <c r="C23" s="95"/>
      <c r="D23" s="138">
        <v>0.5</v>
      </c>
      <c r="E23" s="95" t="s">
        <v>69</v>
      </c>
      <c r="F23" s="95"/>
      <c r="G23" s="95"/>
      <c r="H23" s="95"/>
      <c r="I23" s="95"/>
      <c r="J23" s="121"/>
    </row>
    <row r="24" spans="1:10" x14ac:dyDescent="0.25">
      <c r="A24" s="96" t="s">
        <v>112</v>
      </c>
      <c r="B24" s="97"/>
      <c r="C24" s="98"/>
      <c r="D24" s="98"/>
      <c r="E24" s="98"/>
      <c r="F24" s="98"/>
      <c r="G24" s="98"/>
      <c r="H24" s="98"/>
      <c r="I24" s="98"/>
      <c r="J24" s="142"/>
    </row>
    <row r="25" spans="1:10" x14ac:dyDescent="0.25">
      <c r="A25" s="154" t="s">
        <v>104</v>
      </c>
      <c r="B25" s="130"/>
      <c r="C25" s="108"/>
      <c r="D25" s="108"/>
      <c r="E25" s="108"/>
      <c r="F25" s="143">
        <f>D17</f>
        <v>0</v>
      </c>
      <c r="G25" s="108" t="s">
        <v>82</v>
      </c>
      <c r="H25" s="211" t="s">
        <v>246</v>
      </c>
      <c r="I25" s="211"/>
      <c r="J25" s="212"/>
    </row>
    <row r="26" spans="1:10" x14ac:dyDescent="0.25">
      <c r="A26" s="154" t="s">
        <v>247</v>
      </c>
      <c r="B26" s="130"/>
      <c r="C26" s="108"/>
      <c r="D26" s="108"/>
      <c r="E26" s="108"/>
      <c r="F26" s="145">
        <f>IF(D18&gt;75,"Impervious Surface Length Too Large",IF(AND(D18&lt;35,(D20-D21)&lt;1000,D22&lt;=8,D23&gt;=0.5),D18*1,IF(AND(D18&lt;35,(D20-D21)&lt;1000,D22&lt;=8,D23&lt;0.5),D18*1.9,IF(AND(D18&gt;=35,(D20-D21)&gt;=1000,(D20-D21)&lt;=5000,D22&lt;4,D23&gt;=0.5),35,IF(AND(D18&gt;=35,(D20-D21)&gt;=1000,D22&gt;=4,D22&lt;6,D23&gt;=0.5),50,IF(AND(D18&gt;=35,(D20-D21)&gt;=1000, (D20-D21)&lt;=5000,D22&gt;=6,D22&lt;=8,D23&gt;=0.5),65,IF(AND(D18&gt;=35,D18&lt;=75,(D20-D21)&gt;=1000,(D20-D21)&lt;=5000,D22&lt;4,D23&lt;0.5),65,IF(AND(D18&gt;35,D18&lt;=75,(D20-D21)&gt;=1000,(D20-D21)&lt;=5000,D22&gt;=4,D22&lt;6,D23&lt;0.5),85,IF(AND(D18&gt;35,D18&lt;=75,(D20-D21)&gt;=1000,(D20-D21)&lt;=5000,D22&gt;=6,D22&lt;=8,D23&lt;0.5),105,"Not Allowed")))))))))</f>
        <v>0</v>
      </c>
      <c r="G26" s="108" t="s">
        <v>82</v>
      </c>
      <c r="H26" s="211"/>
      <c r="I26" s="211"/>
      <c r="J26" s="212"/>
    </row>
    <row r="27" spans="1:10" x14ac:dyDescent="0.25">
      <c r="A27" s="154" t="s">
        <v>248</v>
      </c>
      <c r="B27" s="130"/>
      <c r="C27" s="108"/>
      <c r="D27" s="108"/>
      <c r="E27" s="108"/>
      <c r="F27" s="155" t="str">
        <f>IF(D19&gt;0, F26*(1-(D19/(D17*D18))), "Not Applicable")</f>
        <v>Not Applicable</v>
      </c>
      <c r="G27" s="108" t="s">
        <v>82</v>
      </c>
      <c r="H27" s="211"/>
      <c r="I27" s="211"/>
      <c r="J27" s="212"/>
    </row>
    <row r="28" spans="1:10" x14ac:dyDescent="0.25">
      <c r="A28" s="154" t="s">
        <v>114</v>
      </c>
      <c r="B28" s="130"/>
      <c r="C28" s="108"/>
      <c r="D28" s="108"/>
      <c r="E28" s="108"/>
      <c r="F28" s="156">
        <f>IF(D20="Not Allowed","Not Allowed", IF(D19&gt;0,F25*F27,F25*F26))</f>
        <v>0</v>
      </c>
      <c r="G28" s="108" t="s">
        <v>13</v>
      </c>
      <c r="H28" s="211"/>
      <c r="I28" s="211"/>
      <c r="J28" s="212"/>
    </row>
    <row r="29" spans="1:10" ht="7.5" customHeight="1" x14ac:dyDescent="0.25">
      <c r="A29" s="129"/>
      <c r="B29" s="130"/>
      <c r="C29" s="108"/>
      <c r="D29" s="108"/>
      <c r="E29" s="108"/>
      <c r="F29" s="108"/>
      <c r="G29" s="108"/>
      <c r="H29" s="108"/>
      <c r="I29" s="108"/>
      <c r="J29" s="144"/>
    </row>
    <row r="30" spans="1:10" x14ac:dyDescent="0.25">
      <c r="A30" s="146" t="s">
        <v>107</v>
      </c>
      <c r="B30" s="135"/>
      <c r="C30" s="210" t="str">
        <f>IF(D18&gt;20,"REQUIRED", "NOT REQUIRED")</f>
        <v>NOT REQUIRED</v>
      </c>
      <c r="D30" s="210"/>
      <c r="E30" s="101"/>
      <c r="F30" s="101"/>
      <c r="G30" s="101"/>
      <c r="H30" s="101"/>
      <c r="I30" s="101"/>
      <c r="J30" s="149"/>
    </row>
    <row r="31" spans="1:10" ht="7.5" customHeight="1" x14ac:dyDescent="0.25">
      <c r="A31" s="130"/>
      <c r="B31" s="130"/>
      <c r="C31" s="108"/>
      <c r="D31" s="108"/>
      <c r="E31" s="108"/>
      <c r="F31" s="108"/>
      <c r="G31" s="108"/>
      <c r="H31" s="108"/>
      <c r="I31" s="108"/>
    </row>
    <row r="32" spans="1:10" x14ac:dyDescent="0.25">
      <c r="A32" s="93" t="s">
        <v>58</v>
      </c>
      <c r="B32" s="203"/>
      <c r="C32" s="203"/>
      <c r="D32" s="95"/>
      <c r="E32" s="95"/>
      <c r="F32" s="95"/>
      <c r="G32" s="95"/>
      <c r="H32" s="95"/>
      <c r="I32" s="95"/>
      <c r="J32" s="121"/>
    </row>
    <row r="33" spans="1:10" x14ac:dyDescent="0.25">
      <c r="A33" s="93" t="s">
        <v>108</v>
      </c>
      <c r="B33" s="95"/>
      <c r="C33" s="95"/>
      <c r="D33" s="150"/>
      <c r="E33" s="95"/>
      <c r="F33" s="95"/>
      <c r="G33" s="95"/>
      <c r="H33" s="95"/>
      <c r="I33" s="95"/>
      <c r="J33" s="121"/>
    </row>
    <row r="34" spans="1:10" x14ac:dyDescent="0.25">
      <c r="A34" s="93" t="s">
        <v>109</v>
      </c>
      <c r="B34" s="95"/>
      <c r="C34" s="95"/>
      <c r="D34" s="150">
        <v>0</v>
      </c>
      <c r="E34" s="95" t="s">
        <v>110</v>
      </c>
      <c r="F34" s="95"/>
      <c r="G34" s="95"/>
      <c r="H34" s="95"/>
      <c r="I34" s="95"/>
      <c r="J34" s="121"/>
    </row>
    <row r="35" spans="1:10" x14ac:dyDescent="0.25">
      <c r="A35" s="93" t="s">
        <v>111</v>
      </c>
      <c r="B35" s="95"/>
      <c r="C35" s="95"/>
      <c r="D35" s="150">
        <v>0</v>
      </c>
      <c r="E35" s="95" t="s">
        <v>115</v>
      </c>
      <c r="F35" s="95"/>
      <c r="G35" s="95"/>
      <c r="H35" s="95"/>
      <c r="I35" s="95"/>
      <c r="J35" s="121"/>
    </row>
    <row r="36" spans="1:10" ht="26.25" customHeight="1" x14ac:dyDescent="0.25">
      <c r="A36" s="206" t="s">
        <v>229</v>
      </c>
      <c r="B36" s="207"/>
      <c r="C36" s="207"/>
      <c r="D36" s="151">
        <v>0</v>
      </c>
      <c r="E36" s="208" t="s">
        <v>230</v>
      </c>
      <c r="F36" s="208"/>
      <c r="G36" s="208"/>
      <c r="H36" s="208"/>
      <c r="I36" s="208"/>
      <c r="J36" s="209"/>
    </row>
    <row r="37" spans="1:10" ht="26.25" customHeight="1" x14ac:dyDescent="0.25">
      <c r="A37" s="206" t="s">
        <v>245</v>
      </c>
      <c r="B37" s="207"/>
      <c r="C37" s="207"/>
      <c r="D37" s="153">
        <f>(D34*D35)-D36</f>
        <v>0</v>
      </c>
      <c r="E37" s="95" t="s">
        <v>98</v>
      </c>
      <c r="F37" s="95"/>
      <c r="G37" s="95"/>
      <c r="H37" s="95"/>
      <c r="I37" s="95"/>
      <c r="J37" s="121"/>
    </row>
    <row r="38" spans="1:10" hidden="1" x14ac:dyDescent="0.25">
      <c r="A38" s="206"/>
      <c r="B38" s="207"/>
      <c r="C38" s="207"/>
      <c r="D38" s="128"/>
      <c r="E38" s="208"/>
      <c r="F38" s="208"/>
      <c r="G38" s="208"/>
      <c r="H38" s="208"/>
      <c r="I38" s="208"/>
      <c r="J38" s="209"/>
    </row>
    <row r="39" spans="1:10" x14ac:dyDescent="0.25">
      <c r="A39" s="93" t="s">
        <v>100</v>
      </c>
      <c r="B39" s="102"/>
      <c r="C39" s="95"/>
      <c r="D39" s="88">
        <v>1</v>
      </c>
      <c r="E39" s="95" t="s">
        <v>67</v>
      </c>
      <c r="F39" s="95"/>
      <c r="G39" s="95"/>
      <c r="H39" s="95"/>
      <c r="I39" s="95"/>
      <c r="J39" s="121"/>
    </row>
    <row r="40" spans="1:10" x14ac:dyDescent="0.25">
      <c r="A40" s="93" t="s">
        <v>68</v>
      </c>
      <c r="B40" s="102"/>
      <c r="C40" s="95"/>
      <c r="D40" s="138">
        <v>0.5</v>
      </c>
      <c r="E40" s="95" t="s">
        <v>69</v>
      </c>
      <c r="F40" s="95"/>
      <c r="G40" s="95"/>
      <c r="H40" s="95"/>
      <c r="I40" s="95"/>
      <c r="J40" s="121"/>
    </row>
    <row r="41" spans="1:10" x14ac:dyDescent="0.25">
      <c r="A41" s="96" t="s">
        <v>112</v>
      </c>
      <c r="B41" s="97"/>
      <c r="C41" s="98"/>
      <c r="D41" s="98"/>
      <c r="E41" s="98"/>
      <c r="F41" s="98"/>
      <c r="G41" s="98"/>
      <c r="H41" s="98"/>
      <c r="I41" s="98"/>
      <c r="J41" s="142"/>
    </row>
    <row r="42" spans="1:10" x14ac:dyDescent="0.25">
      <c r="A42" s="154" t="s">
        <v>104</v>
      </c>
      <c r="B42" s="130"/>
      <c r="C42" s="108"/>
      <c r="D42" s="108"/>
      <c r="E42" s="108"/>
      <c r="F42" s="143">
        <f>D34</f>
        <v>0</v>
      </c>
      <c r="G42" s="108" t="s">
        <v>82</v>
      </c>
      <c r="H42" s="211" t="s">
        <v>246</v>
      </c>
      <c r="I42" s="211"/>
      <c r="J42" s="212"/>
    </row>
    <row r="43" spans="1:10" x14ac:dyDescent="0.25">
      <c r="A43" s="154" t="s">
        <v>247</v>
      </c>
      <c r="B43" s="130"/>
      <c r="C43" s="108"/>
      <c r="D43" s="108"/>
      <c r="E43" s="108"/>
      <c r="F43" s="145">
        <f>IF(D35&gt;75,"Impervious Surface Length Too Large",IF(AND(D35&lt;35,(D37-D38)&lt;1000,D39&lt;=8,D40&gt;=0.5),D35*1,IF(AND(D35&lt;35,(D37-D38)&lt;1000,D39&lt;=8,D40&lt;0.5),D35*1.9,IF(AND(D35&gt;=35,(D37-D38)&gt;=1000,(D37-D38)&lt;=5000,D39&lt;4,D40&gt;=0.5),35,IF(AND(D35&gt;=35,(D37-D38)&gt;=1000,D39&gt;=4,D39&lt;6,D40&gt;=0.5),50,IF(AND(D35&gt;=35,(D37-D38)&gt;=1000, (D37-D38)&lt;=5000,D39&gt;=6,D39&lt;=8,D40&gt;=0.5),65,IF(AND(D35&gt;=35,D35&lt;=75,(D37-D38)&gt;=1000,(D37-D38)&lt;=5000,D39&lt;4,D40&lt;0.5),65,IF(AND(D35&gt;35,D35&lt;=75,(D37-D38)&gt;=1000,(D37-D38)&lt;=5000,D39&gt;=4,D39&lt;6,D40&lt;0.5),85,IF(AND(D35&gt;35,D35&lt;=75,(D37-D38)&gt;=1000,(D37-D38)&lt;=5000,D39&gt;=6,D39&lt;=8,D40&lt;0.5),105,"Not Allowed")))))))))</f>
        <v>0</v>
      </c>
      <c r="G43" s="108" t="s">
        <v>82</v>
      </c>
      <c r="H43" s="211"/>
      <c r="I43" s="211"/>
      <c r="J43" s="212"/>
    </row>
    <row r="44" spans="1:10" x14ac:dyDescent="0.25">
      <c r="A44" s="154" t="s">
        <v>248</v>
      </c>
      <c r="B44" s="130"/>
      <c r="C44" s="108"/>
      <c r="D44" s="108"/>
      <c r="E44" s="108"/>
      <c r="F44" s="155" t="str">
        <f>IF(D36&gt;0, F43*(1-(D36/(D34*D35))), "Not Applicable")</f>
        <v>Not Applicable</v>
      </c>
      <c r="G44" s="108" t="s">
        <v>82</v>
      </c>
      <c r="H44" s="211"/>
      <c r="I44" s="211"/>
      <c r="J44" s="212"/>
    </row>
    <row r="45" spans="1:10" x14ac:dyDescent="0.25">
      <c r="A45" s="154" t="s">
        <v>114</v>
      </c>
      <c r="B45" s="130"/>
      <c r="C45" s="108"/>
      <c r="D45" s="108"/>
      <c r="E45" s="108"/>
      <c r="F45" s="156">
        <f>IF(D37="Not Allowed","Not Allowed", IF(D36&gt;0,F42*F44,F42*F43))</f>
        <v>0</v>
      </c>
      <c r="G45" s="108" t="s">
        <v>13</v>
      </c>
      <c r="H45" s="211"/>
      <c r="I45" s="211"/>
      <c r="J45" s="212"/>
    </row>
    <row r="46" spans="1:10" ht="6.75" customHeight="1" x14ac:dyDescent="0.25">
      <c r="A46" s="129"/>
      <c r="B46" s="130"/>
      <c r="C46" s="108"/>
      <c r="D46" s="108"/>
      <c r="E46" s="108"/>
      <c r="F46" s="108"/>
      <c r="G46" s="108"/>
      <c r="H46" s="108"/>
      <c r="I46" s="108"/>
      <c r="J46" s="144"/>
    </row>
    <row r="47" spans="1:10" x14ac:dyDescent="0.25">
      <c r="A47" s="146" t="s">
        <v>107</v>
      </c>
      <c r="B47" s="135"/>
      <c r="C47" s="210" t="str">
        <f>IF(D35&gt;20,"REQUIRED", "NOT REQUIRED")</f>
        <v>NOT REQUIRED</v>
      </c>
      <c r="D47" s="210"/>
      <c r="E47" s="101"/>
      <c r="F47" s="101"/>
      <c r="G47" s="101"/>
      <c r="H47" s="101"/>
      <c r="I47" s="101"/>
      <c r="J47" s="149"/>
    </row>
    <row r="48" spans="1:10" ht="7.5" customHeight="1" x14ac:dyDescent="0.25"/>
    <row r="49" spans="1:10" ht="29.25" customHeight="1" x14ac:dyDescent="0.25">
      <c r="A49" s="175" t="s">
        <v>244</v>
      </c>
      <c r="B49" s="176"/>
      <c r="C49" s="176"/>
      <c r="D49" s="176"/>
      <c r="E49" s="176"/>
      <c r="F49" s="176"/>
      <c r="G49" s="176"/>
      <c r="H49" s="119">
        <f>D20+D37</f>
        <v>0</v>
      </c>
      <c r="I49" s="120" t="s">
        <v>13</v>
      </c>
      <c r="J49" s="121"/>
    </row>
  </sheetData>
  <sheetProtection sheet="1" objects="1" scenarios="1" selectLockedCells="1"/>
  <mergeCells count="38">
    <mergeCell ref="A49:G49"/>
    <mergeCell ref="A19:C19"/>
    <mergeCell ref="E19:J19"/>
    <mergeCell ref="A20:C20"/>
    <mergeCell ref="E21:J21"/>
    <mergeCell ref="A21:C21"/>
    <mergeCell ref="B32:C32"/>
    <mergeCell ref="A37:C37"/>
    <mergeCell ref="C30:D30"/>
    <mergeCell ref="H25:J28"/>
    <mergeCell ref="A36:C36"/>
    <mergeCell ref="E36:J36"/>
    <mergeCell ref="A38:C38"/>
    <mergeCell ref="E38:J38"/>
    <mergeCell ref="H42:J45"/>
    <mergeCell ref="C47:D47"/>
    <mergeCell ref="A1:J1"/>
    <mergeCell ref="A4:C4"/>
    <mergeCell ref="D4:J4"/>
    <mergeCell ref="A5:C5"/>
    <mergeCell ref="D5:J5"/>
    <mergeCell ref="A2:I2"/>
    <mergeCell ref="G8:I8"/>
    <mergeCell ref="G10:I10"/>
    <mergeCell ref="G11:I11"/>
    <mergeCell ref="A10:B11"/>
    <mergeCell ref="C10:D11"/>
    <mergeCell ref="E11:F11"/>
    <mergeCell ref="A9:B9"/>
    <mergeCell ref="C9:D9"/>
    <mergeCell ref="A8:D8"/>
    <mergeCell ref="E8:F9"/>
    <mergeCell ref="E10:F10"/>
    <mergeCell ref="E12:F12"/>
    <mergeCell ref="E13:F13"/>
    <mergeCell ref="B15:C15"/>
    <mergeCell ref="A12:B13"/>
    <mergeCell ref="C12:D13"/>
  </mergeCells>
  <pageMargins left="0.5" right="0.5" top="0.5" bottom="0.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zoomScaleNormal="100" workbookViewId="0">
      <selection activeCell="E27" sqref="E27"/>
    </sheetView>
  </sheetViews>
  <sheetFormatPr defaultRowHeight="15" x14ac:dyDescent="0.25"/>
  <cols>
    <col min="1" max="1" width="9.85546875" style="1" customWidth="1"/>
    <col min="2" max="3" width="9.140625" style="1"/>
    <col min="4" max="4" width="10" style="1" customWidth="1"/>
    <col min="5" max="5" width="9.140625" style="1"/>
    <col min="6" max="6" width="9.140625" style="1" customWidth="1"/>
    <col min="7" max="7" width="10.85546875" style="1" customWidth="1"/>
    <col min="8" max="11" width="9.140625" style="1"/>
    <col min="12" max="12" width="10.42578125" style="1" bestFit="1" customWidth="1"/>
    <col min="13" max="16" width="9.140625" style="1"/>
    <col min="17" max="17" width="17.5703125" style="1" customWidth="1"/>
    <col min="18" max="18" width="23.28515625" style="1" customWidth="1"/>
    <col min="19" max="19" width="25.42578125" style="1" customWidth="1"/>
    <col min="20" max="16384" width="9.140625" style="1"/>
  </cols>
  <sheetData>
    <row r="1" spans="1:10" x14ac:dyDescent="0.25">
      <c r="A1" s="164" t="s">
        <v>33</v>
      </c>
      <c r="B1" s="164"/>
      <c r="C1" s="164"/>
      <c r="D1" s="164"/>
      <c r="E1" s="164"/>
      <c r="F1" s="164"/>
      <c r="G1" s="164"/>
      <c r="H1" s="164"/>
      <c r="I1" s="164"/>
      <c r="J1" s="164"/>
    </row>
    <row r="2" spans="1:10" x14ac:dyDescent="0.25">
      <c r="A2" s="164" t="s">
        <v>187</v>
      </c>
      <c r="B2" s="164"/>
      <c r="C2" s="164"/>
      <c r="D2" s="164"/>
      <c r="E2" s="164"/>
      <c r="F2" s="164"/>
      <c r="G2" s="164"/>
      <c r="H2" s="164"/>
      <c r="I2" s="164"/>
      <c r="J2" s="164"/>
    </row>
    <row r="4" spans="1:10" ht="15" customHeight="1" x14ac:dyDescent="0.25">
      <c r="A4" s="50" t="s">
        <v>30</v>
      </c>
      <c r="B4" s="49"/>
      <c r="C4" s="49"/>
      <c r="D4" s="59" t="str">
        <f>'1-Project Information'!C4</f>
        <v>BETA-001</v>
      </c>
      <c r="E4" s="59"/>
      <c r="F4" s="59"/>
      <c r="G4" s="59"/>
      <c r="H4" s="59"/>
      <c r="I4" s="59"/>
      <c r="J4" s="59"/>
    </row>
    <row r="5" spans="1:10" ht="15" customHeight="1" x14ac:dyDescent="0.25">
      <c r="A5" s="50" t="s">
        <v>35</v>
      </c>
      <c r="B5" s="49"/>
      <c r="C5" s="49"/>
      <c r="D5" s="60">
        <f>'1-Project Information'!C5</f>
        <v>42278</v>
      </c>
      <c r="E5" s="60"/>
      <c r="F5" s="60"/>
      <c r="G5" s="60"/>
      <c r="H5" s="60"/>
      <c r="I5" s="60"/>
      <c r="J5" s="60"/>
    </row>
    <row r="7" spans="1:10" x14ac:dyDescent="0.25">
      <c r="A7" s="3" t="s">
        <v>85</v>
      </c>
      <c r="B7" s="52"/>
      <c r="C7" s="52"/>
      <c r="D7" s="52"/>
      <c r="E7" s="52"/>
      <c r="F7" s="52"/>
      <c r="G7" s="41"/>
    </row>
    <row r="8" spans="1:10" x14ac:dyDescent="0.25">
      <c r="A8" s="214" t="s">
        <v>191</v>
      </c>
      <c r="B8" s="214" t="s">
        <v>192</v>
      </c>
      <c r="C8" s="213" t="s">
        <v>193</v>
      </c>
      <c r="D8" s="213"/>
      <c r="E8" s="213"/>
      <c r="F8" s="213"/>
      <c r="G8" s="213"/>
      <c r="H8" s="2"/>
    </row>
    <row r="9" spans="1:10" ht="15" customHeight="1" x14ac:dyDescent="0.25">
      <c r="A9" s="214"/>
      <c r="B9" s="214"/>
      <c r="C9" s="51">
        <v>24</v>
      </c>
      <c r="D9" s="51">
        <v>30</v>
      </c>
      <c r="E9" s="51">
        <v>36</v>
      </c>
      <c r="F9" s="51">
        <v>42</v>
      </c>
      <c r="G9" s="51">
        <v>48</v>
      </c>
      <c r="H9" s="2"/>
    </row>
    <row r="10" spans="1:10" ht="21.75" customHeight="1" x14ac:dyDescent="0.25">
      <c r="A10" s="214"/>
      <c r="B10" s="214"/>
      <c r="C10" s="213" t="s">
        <v>194</v>
      </c>
      <c r="D10" s="213"/>
      <c r="E10" s="213"/>
      <c r="F10" s="213"/>
      <c r="G10" s="213"/>
      <c r="H10" s="2"/>
    </row>
    <row r="11" spans="1:10" x14ac:dyDescent="0.25">
      <c r="A11" s="51">
        <v>12</v>
      </c>
      <c r="B11" s="51">
        <v>30</v>
      </c>
      <c r="C11" s="53">
        <v>254.165791269224</v>
      </c>
      <c r="D11" s="53">
        <v>342.11385087156145</v>
      </c>
      <c r="E11" s="53">
        <v>444.51323668041192</v>
      </c>
      <c r="F11" s="53">
        <v>561.36394869577543</v>
      </c>
      <c r="G11" s="53">
        <v>692.66598691765194</v>
      </c>
      <c r="H11" s="2"/>
    </row>
    <row r="12" spans="1:10" x14ac:dyDescent="0.25">
      <c r="A12" s="51">
        <v>12</v>
      </c>
      <c r="B12" s="51">
        <v>36</v>
      </c>
      <c r="C12" s="53">
        <v>293.65065051539472</v>
      </c>
      <c r="D12" s="53">
        <v>396.0335016260683</v>
      </c>
      <c r="E12" s="53">
        <v>515.34788366977341</v>
      </c>
      <c r="F12" s="53">
        <v>651.59379664650965</v>
      </c>
      <c r="G12" s="53">
        <v>804.77124055627723</v>
      </c>
      <c r="H12" s="2"/>
    </row>
    <row r="13" spans="1:10" x14ac:dyDescent="0.25">
      <c r="A13" s="51">
        <v>12</v>
      </c>
      <c r="B13" s="51">
        <v>48</v>
      </c>
      <c r="C13" s="53">
        <v>372.62036900773597</v>
      </c>
      <c r="D13" s="53">
        <v>503.87280313508211</v>
      </c>
      <c r="E13" s="53">
        <v>657.01717764849616</v>
      </c>
      <c r="F13" s="53">
        <v>832.05349254797795</v>
      </c>
      <c r="G13" s="53">
        <v>1028.9817478335276</v>
      </c>
      <c r="H13" s="2"/>
    </row>
    <row r="14" spans="1:10" ht="27" customHeight="1" x14ac:dyDescent="0.25">
      <c r="A14" s="21"/>
      <c r="B14" s="214" t="s">
        <v>195</v>
      </c>
      <c r="C14" s="214" t="s">
        <v>196</v>
      </c>
      <c r="D14" s="214"/>
      <c r="E14" s="214"/>
      <c r="F14" s="214"/>
      <c r="G14" s="214"/>
      <c r="H14" s="2"/>
    </row>
    <row r="15" spans="1:10" ht="15" customHeight="1" x14ac:dyDescent="0.25">
      <c r="A15" s="21"/>
      <c r="B15" s="214"/>
      <c r="C15" s="51">
        <v>24</v>
      </c>
      <c r="D15" s="51">
        <v>30</v>
      </c>
      <c r="E15" s="51">
        <v>36</v>
      </c>
      <c r="F15" s="51">
        <v>42</v>
      </c>
      <c r="G15" s="51">
        <v>48</v>
      </c>
      <c r="H15" s="2"/>
    </row>
    <row r="16" spans="1:10" x14ac:dyDescent="0.25">
      <c r="A16" s="21"/>
      <c r="B16" s="214"/>
      <c r="C16" s="213" t="s">
        <v>194</v>
      </c>
      <c r="D16" s="213"/>
      <c r="E16" s="213"/>
      <c r="F16" s="213"/>
      <c r="G16" s="213"/>
      <c r="H16" s="2"/>
    </row>
    <row r="17" spans="1:10" x14ac:dyDescent="0.25">
      <c r="A17" s="21"/>
      <c r="B17" s="51">
        <v>24</v>
      </c>
      <c r="C17" s="53">
        <v>29.497901547390484</v>
      </c>
      <c r="D17" s="53">
        <v>46.090471167797631</v>
      </c>
      <c r="E17" s="53">
        <v>66.370278481628574</v>
      </c>
      <c r="F17" s="53">
        <v>90.337323488883357</v>
      </c>
      <c r="G17" s="53">
        <v>117.99160618956194</v>
      </c>
      <c r="H17" s="2"/>
    </row>
    <row r="18" spans="1:10" x14ac:dyDescent="0.25">
      <c r="A18" s="2"/>
      <c r="B18" s="51">
        <v>30</v>
      </c>
      <c r="C18" s="53">
        <v>36.045642025398685</v>
      </c>
      <c r="D18" s="53">
        <v>56.321315664685443</v>
      </c>
      <c r="E18" s="53">
        <v>81.102694557147046</v>
      </c>
      <c r="F18" s="53">
        <v>110.38977870278346</v>
      </c>
      <c r="G18" s="53">
        <v>144.18256810159474</v>
      </c>
      <c r="H18" s="2"/>
    </row>
    <row r="19" spans="1:10" x14ac:dyDescent="0.25">
      <c r="A19" s="33"/>
      <c r="B19" s="51">
        <v>36</v>
      </c>
      <c r="C19" s="53">
        <v>42.593382503406879</v>
      </c>
      <c r="D19" s="53">
        <v>66.552160161573241</v>
      </c>
      <c r="E19" s="53">
        <v>95.835110632665476</v>
      </c>
      <c r="F19" s="53">
        <v>130.44223391668356</v>
      </c>
      <c r="G19" s="53">
        <v>170.37353001362752</v>
      </c>
      <c r="H19" s="2"/>
    </row>
    <row r="20" spans="1:10" x14ac:dyDescent="0.25">
      <c r="A20" s="33"/>
      <c r="B20" s="51">
        <v>42</v>
      </c>
      <c r="C20" s="53">
        <v>49.14112298141508</v>
      </c>
      <c r="D20" s="53">
        <v>76.783004658461067</v>
      </c>
      <c r="E20" s="53">
        <v>110.56752670818393</v>
      </c>
      <c r="F20" s="53">
        <v>150.49468913058368</v>
      </c>
      <c r="G20" s="53">
        <v>196.56449192566032</v>
      </c>
      <c r="H20" s="2"/>
    </row>
    <row r="21" spans="1:10" x14ac:dyDescent="0.25">
      <c r="A21" s="33"/>
      <c r="B21" s="51">
        <v>48</v>
      </c>
      <c r="C21" s="53">
        <v>55.688863459423288</v>
      </c>
      <c r="D21" s="53">
        <v>87.013849155348879</v>
      </c>
      <c r="E21" s="53">
        <v>125.29994278370239</v>
      </c>
      <c r="F21" s="53">
        <v>170.5471443444838</v>
      </c>
      <c r="G21" s="53">
        <v>222.75545383769315</v>
      </c>
      <c r="H21" s="2"/>
    </row>
    <row r="23" spans="1:10" x14ac:dyDescent="0.25">
      <c r="A23" s="3" t="s">
        <v>58</v>
      </c>
      <c r="B23" s="203"/>
      <c r="C23" s="203"/>
      <c r="D23" s="203"/>
      <c r="E23" s="4" t="s">
        <v>130</v>
      </c>
      <c r="F23" s="4"/>
      <c r="G23" s="4"/>
      <c r="H23" s="4"/>
      <c r="I23" s="4"/>
      <c r="J23" s="5"/>
    </row>
    <row r="24" spans="1:10" x14ac:dyDescent="0.25">
      <c r="A24" s="3" t="s">
        <v>188</v>
      </c>
      <c r="B24" s="4"/>
      <c r="C24" s="4"/>
      <c r="D24" s="4"/>
      <c r="E24" s="150">
        <v>0</v>
      </c>
      <c r="F24" s="4" t="s">
        <v>82</v>
      </c>
      <c r="G24" s="4"/>
      <c r="H24" s="4"/>
      <c r="I24" s="4"/>
      <c r="J24" s="5"/>
    </row>
    <row r="25" spans="1:10" x14ac:dyDescent="0.25">
      <c r="A25" s="3" t="s">
        <v>189</v>
      </c>
      <c r="B25" s="4"/>
      <c r="C25" s="4"/>
      <c r="D25" s="4"/>
      <c r="E25" s="150">
        <v>0</v>
      </c>
      <c r="F25" s="4" t="s">
        <v>190</v>
      </c>
      <c r="G25" s="4"/>
      <c r="H25" s="4"/>
      <c r="I25" s="4"/>
      <c r="J25" s="5"/>
    </row>
    <row r="26" spans="1:10" x14ac:dyDescent="0.25">
      <c r="A26" s="3" t="s">
        <v>99</v>
      </c>
      <c r="B26" s="12"/>
      <c r="C26" s="12"/>
      <c r="D26" s="4"/>
      <c r="E26" s="26">
        <f>IF(E24*E25&lt;=1000,E24*E25,"Not Allowed")</f>
        <v>0</v>
      </c>
      <c r="F26" s="4" t="s">
        <v>64</v>
      </c>
      <c r="G26" s="4"/>
      <c r="H26" s="4"/>
      <c r="I26" s="4"/>
      <c r="J26" s="5"/>
    </row>
    <row r="27" spans="1:10" x14ac:dyDescent="0.25">
      <c r="A27" s="6" t="s">
        <v>197</v>
      </c>
      <c r="B27" s="7"/>
      <c r="C27" s="7"/>
      <c r="D27" s="8"/>
      <c r="E27" s="157">
        <v>0.5</v>
      </c>
      <c r="F27" s="8" t="s">
        <v>263</v>
      </c>
      <c r="G27" s="8"/>
      <c r="H27" s="8"/>
      <c r="I27" s="8"/>
      <c r="J27" s="9"/>
    </row>
    <row r="28" spans="1:10" x14ac:dyDescent="0.25">
      <c r="A28" s="6" t="s">
        <v>198</v>
      </c>
      <c r="B28" s="7"/>
      <c r="C28" s="7"/>
      <c r="D28" s="8"/>
      <c r="E28" s="8"/>
      <c r="F28" s="8"/>
      <c r="G28" s="8"/>
      <c r="H28" s="8"/>
      <c r="I28" s="8"/>
      <c r="J28" s="9"/>
    </row>
    <row r="29" spans="1:10" x14ac:dyDescent="0.25">
      <c r="A29" s="20"/>
      <c r="B29" s="21" t="s">
        <v>201</v>
      </c>
      <c r="C29" s="21"/>
      <c r="D29" s="15"/>
      <c r="E29" s="158">
        <v>0</v>
      </c>
      <c r="F29" s="15" t="s">
        <v>199</v>
      </c>
      <c r="G29" s="15"/>
      <c r="H29" s="15"/>
      <c r="I29" s="15"/>
      <c r="J29" s="16"/>
    </row>
    <row r="30" spans="1:10" x14ac:dyDescent="0.25">
      <c r="A30" s="20"/>
      <c r="B30" s="21" t="s">
        <v>202</v>
      </c>
      <c r="C30" s="21"/>
      <c r="D30" s="15"/>
      <c r="E30" s="158">
        <v>0</v>
      </c>
      <c r="F30" s="15" t="s">
        <v>200</v>
      </c>
      <c r="G30" s="15"/>
      <c r="H30" s="15"/>
      <c r="I30" s="15"/>
      <c r="J30" s="16"/>
    </row>
    <row r="31" spans="1:10" x14ac:dyDescent="0.25">
      <c r="A31" s="20"/>
      <c r="B31" s="21" t="s">
        <v>203</v>
      </c>
      <c r="C31" s="21"/>
      <c r="D31" s="15"/>
      <c r="E31" s="40">
        <v>12</v>
      </c>
      <c r="F31" s="15" t="s">
        <v>120</v>
      </c>
      <c r="G31" s="15"/>
      <c r="H31" s="15"/>
      <c r="I31" s="15"/>
      <c r="J31" s="16"/>
    </row>
    <row r="32" spans="1:10" x14ac:dyDescent="0.25">
      <c r="A32" s="20"/>
      <c r="B32" s="21" t="s">
        <v>204</v>
      </c>
      <c r="C32" s="21"/>
      <c r="D32" s="15"/>
      <c r="E32" s="158">
        <v>0</v>
      </c>
      <c r="F32" s="15"/>
      <c r="G32" s="15"/>
      <c r="H32" s="15"/>
      <c r="I32" s="15"/>
      <c r="J32" s="16"/>
    </row>
    <row r="33" spans="1:10" x14ac:dyDescent="0.25">
      <c r="A33" s="6" t="s">
        <v>205</v>
      </c>
      <c r="B33" s="7"/>
      <c r="C33" s="7"/>
      <c r="D33" s="8"/>
      <c r="E33" s="8"/>
      <c r="F33" s="8"/>
      <c r="G33" s="8"/>
      <c r="H33" s="8"/>
      <c r="I33" s="8"/>
      <c r="J33" s="9"/>
    </row>
    <row r="34" spans="1:10" x14ac:dyDescent="0.25">
      <c r="A34" s="20"/>
      <c r="B34" s="21" t="s">
        <v>206</v>
      </c>
      <c r="C34" s="21"/>
      <c r="D34" s="15"/>
      <c r="E34" s="159">
        <v>0</v>
      </c>
      <c r="F34" s="15" t="s">
        <v>199</v>
      </c>
      <c r="G34" s="15"/>
      <c r="H34" s="15"/>
      <c r="I34" s="15"/>
      <c r="J34" s="16"/>
    </row>
    <row r="35" spans="1:10" x14ac:dyDescent="0.25">
      <c r="A35" s="20"/>
      <c r="B35" s="21" t="s">
        <v>207</v>
      </c>
      <c r="C35" s="21"/>
      <c r="D35" s="15"/>
      <c r="E35" s="159">
        <v>0</v>
      </c>
      <c r="F35" s="15" t="s">
        <v>199</v>
      </c>
      <c r="G35" s="15"/>
      <c r="H35" s="15"/>
      <c r="I35" s="15"/>
      <c r="J35" s="16"/>
    </row>
    <row r="36" spans="1:10" x14ac:dyDescent="0.25">
      <c r="A36" s="25"/>
      <c r="B36" s="23" t="s">
        <v>204</v>
      </c>
      <c r="C36" s="23"/>
      <c r="D36" s="11"/>
      <c r="E36" s="160">
        <v>0</v>
      </c>
      <c r="F36" s="11"/>
      <c r="G36" s="11"/>
      <c r="H36" s="11"/>
      <c r="I36" s="11"/>
      <c r="J36" s="14"/>
    </row>
    <row r="37" spans="1:10" x14ac:dyDescent="0.25">
      <c r="A37" s="20" t="s">
        <v>112</v>
      </c>
      <c r="B37" s="21"/>
      <c r="C37" s="21"/>
      <c r="D37" s="15"/>
      <c r="E37" s="15"/>
      <c r="F37" s="15"/>
      <c r="G37" s="15"/>
      <c r="H37" s="15"/>
      <c r="I37" s="15"/>
      <c r="J37" s="16"/>
    </row>
    <row r="38" spans="1:10" ht="15" customHeight="1" x14ac:dyDescent="0.25">
      <c r="A38" s="20" t="s">
        <v>211</v>
      </c>
      <c r="B38" s="21"/>
      <c r="C38" s="21"/>
      <c r="D38" s="15"/>
      <c r="E38" s="15"/>
      <c r="F38" s="15"/>
      <c r="G38" s="29">
        <f>((1*(0.05+0.009*100)*(E26/43560))/12)*43560</f>
        <v>0</v>
      </c>
      <c r="H38" s="15" t="s">
        <v>124</v>
      </c>
      <c r="I38" s="15"/>
      <c r="J38" s="16"/>
    </row>
    <row r="39" spans="1:10" ht="15" hidden="1" customHeight="1" x14ac:dyDescent="0.25">
      <c r="A39" s="20"/>
      <c r="B39" s="21"/>
      <c r="C39" s="21"/>
      <c r="D39" s="15"/>
      <c r="E39" s="15"/>
      <c r="F39" s="15"/>
      <c r="G39" s="54"/>
      <c r="H39" s="15"/>
      <c r="I39" s="15"/>
      <c r="J39" s="16"/>
    </row>
    <row r="40" spans="1:10" hidden="1" x14ac:dyDescent="0.25">
      <c r="A40" s="20" t="s">
        <v>208</v>
      </c>
      <c r="B40" s="21"/>
      <c r="C40" s="21"/>
      <c r="D40" s="15"/>
      <c r="E40" s="15"/>
      <c r="F40" s="15"/>
      <c r="G40" s="29">
        <f>((PI()*(((E$29/2)/12)^2)*(($E$30/12)*1)+($E$27*2/12))+(((PI()*(((($E$29+$E$31+$E$31)/2)/12)^2)*(($E$30+$E$31)/12))-(PI()*((($E$29/2)/12)^2)*($E$30/12)))*0.33)+($E$27*2/12))*$E$32</f>
        <v>0</v>
      </c>
      <c r="H40" s="15" t="s">
        <v>124</v>
      </c>
      <c r="I40" s="15"/>
      <c r="J40" s="16"/>
    </row>
    <row r="41" spans="1:10" x14ac:dyDescent="0.25">
      <c r="A41" s="20" t="s">
        <v>261</v>
      </c>
      <c r="B41" s="21"/>
      <c r="C41" s="21"/>
      <c r="D41" s="15"/>
      <c r="E41" s="15"/>
      <c r="F41" s="15"/>
      <c r="G41" s="29">
        <f>(G40*12)/(1*(0.05+0.009*100))</f>
        <v>0</v>
      </c>
      <c r="H41" s="15" t="s">
        <v>13</v>
      </c>
      <c r="I41" s="15"/>
      <c r="J41" s="16"/>
    </row>
    <row r="42" spans="1:10" x14ac:dyDescent="0.25">
      <c r="A42" s="20"/>
      <c r="B42" s="21" t="s">
        <v>209</v>
      </c>
      <c r="C42" s="21"/>
      <c r="D42" s="15"/>
      <c r="E42" s="15"/>
      <c r="F42" s="15"/>
      <c r="G42" s="35">
        <f>(((PI()*(((($E$29+$E$31+$E$31)/2)/12)^2)*(($E$30+$E$31)/12))-(PI()*((($E$29/2)/12)^2)*($E$30/12)))*$E$32)*0.037037037</f>
        <v>0</v>
      </c>
      <c r="H42" s="15" t="s">
        <v>25</v>
      </c>
      <c r="I42" s="15"/>
      <c r="J42" s="16"/>
    </row>
    <row r="43" spans="1:10" hidden="1" x14ac:dyDescent="0.25">
      <c r="A43" s="20" t="s">
        <v>210</v>
      </c>
      <c r="B43" s="21"/>
      <c r="C43" s="21"/>
      <c r="D43" s="15"/>
      <c r="E43" s="15"/>
      <c r="F43" s="15"/>
      <c r="G43" s="29">
        <f>(PI()*($E$34/12)*((($E$35/12)*0.33)+($E$27*2/12)))*E36</f>
        <v>0</v>
      </c>
      <c r="H43" s="15" t="s">
        <v>124</v>
      </c>
      <c r="I43" s="15"/>
      <c r="J43" s="16"/>
    </row>
    <row r="44" spans="1:10" x14ac:dyDescent="0.25">
      <c r="A44" s="20" t="s">
        <v>262</v>
      </c>
      <c r="B44" s="21"/>
      <c r="C44" s="21"/>
      <c r="D44" s="15"/>
      <c r="E44" s="15"/>
      <c r="F44" s="15"/>
      <c r="G44" s="29">
        <f>(G43*12)/(1*(0.05+0.009*100))</f>
        <v>0</v>
      </c>
      <c r="H44" s="15" t="s">
        <v>13</v>
      </c>
      <c r="I44" s="15"/>
      <c r="J44" s="16"/>
    </row>
    <row r="45" spans="1:10" x14ac:dyDescent="0.25">
      <c r="A45" s="25"/>
      <c r="B45" s="23" t="s">
        <v>209</v>
      </c>
      <c r="C45" s="23"/>
      <c r="D45" s="11"/>
      <c r="E45" s="11"/>
      <c r="F45" s="11"/>
      <c r="G45" s="17">
        <f>((PI()*(((E34/2)/12)^2)*(E35/12))*E36)*0.037037037</f>
        <v>0</v>
      </c>
      <c r="H45" s="11" t="s">
        <v>25</v>
      </c>
      <c r="I45" s="11"/>
      <c r="J45" s="14"/>
    </row>
    <row r="46" spans="1:10" x14ac:dyDescent="0.25">
      <c r="A46" s="21"/>
      <c r="B46" s="21"/>
      <c r="C46" s="21"/>
      <c r="D46" s="15"/>
      <c r="E46" s="15"/>
      <c r="F46" s="15"/>
      <c r="G46" s="36"/>
      <c r="H46" s="15"/>
      <c r="I46" s="15"/>
      <c r="J46" s="15"/>
    </row>
    <row r="47" spans="1:10" ht="29.25" customHeight="1" x14ac:dyDescent="0.25">
      <c r="A47" s="192" t="s">
        <v>260</v>
      </c>
      <c r="B47" s="193"/>
      <c r="C47" s="193"/>
      <c r="D47" s="193"/>
      <c r="E47" s="193"/>
      <c r="F47" s="193"/>
      <c r="G47" s="193"/>
      <c r="H47" s="63">
        <f>G41+G44</f>
        <v>0</v>
      </c>
      <c r="I47" s="61" t="s">
        <v>13</v>
      </c>
      <c r="J47" s="41"/>
    </row>
  </sheetData>
  <sheetProtection sheet="1" objects="1" scenarios="1" selectLockedCells="1"/>
  <mergeCells count="11">
    <mergeCell ref="A47:G47"/>
    <mergeCell ref="A1:J1"/>
    <mergeCell ref="A2:J2"/>
    <mergeCell ref="C8:G8"/>
    <mergeCell ref="C10:G10"/>
    <mergeCell ref="C16:G16"/>
    <mergeCell ref="C14:G14"/>
    <mergeCell ref="A8:A10"/>
    <mergeCell ref="B8:B10"/>
    <mergeCell ref="B14:B16"/>
    <mergeCell ref="B23:D23"/>
  </mergeCells>
  <pageMargins left="0.5" right="0.5" top="0.5" bottom="0.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zoomScaleNormal="100" workbookViewId="0">
      <selection activeCell="E25" sqref="E25"/>
    </sheetView>
  </sheetViews>
  <sheetFormatPr defaultRowHeight="15" x14ac:dyDescent="0.25"/>
  <cols>
    <col min="1" max="1" width="9.140625" style="1"/>
    <col min="2" max="2" width="5.7109375" style="1" customWidth="1"/>
    <col min="3" max="3" width="9.140625" style="1"/>
    <col min="4" max="4" width="9" style="1" customWidth="1"/>
    <col min="5" max="5" width="9.140625" style="1" customWidth="1"/>
    <col min="6" max="6" width="10.7109375" style="1" customWidth="1"/>
    <col min="7" max="7" width="10.5703125" style="1" customWidth="1"/>
    <col min="8" max="9" width="9.140625" style="1"/>
    <col min="10" max="10" width="8.7109375" style="1" customWidth="1"/>
    <col min="11" max="11" width="9.140625" style="1"/>
    <col min="12" max="12" width="10.42578125" style="1" bestFit="1" customWidth="1"/>
    <col min="13" max="16" width="9.140625" style="1"/>
    <col min="17" max="17" width="17.5703125" style="1" customWidth="1"/>
    <col min="18" max="18" width="23.28515625" style="1" customWidth="1"/>
    <col min="19" max="19" width="25.42578125" style="1" customWidth="1"/>
    <col min="20" max="16384" width="9.140625" style="1"/>
  </cols>
  <sheetData>
    <row r="1" spans="1:10" x14ac:dyDescent="0.25">
      <c r="A1" s="164" t="s">
        <v>33</v>
      </c>
      <c r="B1" s="164"/>
      <c r="C1" s="164"/>
      <c r="D1" s="164"/>
      <c r="E1" s="164"/>
      <c r="F1" s="164"/>
      <c r="G1" s="164"/>
      <c r="H1" s="164"/>
      <c r="I1" s="164"/>
      <c r="J1" s="164"/>
    </row>
    <row r="2" spans="1:10" x14ac:dyDescent="0.25">
      <c r="A2" s="164" t="s">
        <v>128</v>
      </c>
      <c r="B2" s="164"/>
      <c r="C2" s="164"/>
      <c r="D2" s="164"/>
      <c r="E2" s="164"/>
      <c r="F2" s="164"/>
      <c r="G2" s="164"/>
      <c r="H2" s="164"/>
      <c r="I2" s="164"/>
      <c r="J2" s="164"/>
    </row>
    <row r="3" spans="1:10" ht="7.5" customHeight="1" x14ac:dyDescent="0.25"/>
    <row r="4" spans="1:10" x14ac:dyDescent="0.25">
      <c r="A4" s="195" t="s">
        <v>30</v>
      </c>
      <c r="B4" s="195"/>
      <c r="C4" s="195"/>
      <c r="D4" s="196" t="str">
        <f>'1-Project Information'!C4</f>
        <v>BETA-001</v>
      </c>
      <c r="E4" s="196"/>
      <c r="F4" s="196"/>
      <c r="G4" s="196"/>
      <c r="H4" s="196"/>
      <c r="I4" s="196"/>
      <c r="J4" s="196"/>
    </row>
    <row r="5" spans="1:10" x14ac:dyDescent="0.25">
      <c r="A5" s="195" t="s">
        <v>35</v>
      </c>
      <c r="B5" s="195"/>
      <c r="C5" s="195"/>
      <c r="D5" s="197">
        <f>'1-Project Information'!C5</f>
        <v>42278</v>
      </c>
      <c r="E5" s="197"/>
      <c r="F5" s="197"/>
      <c r="G5" s="197"/>
      <c r="H5" s="197"/>
      <c r="I5" s="197"/>
      <c r="J5" s="197"/>
    </row>
    <row r="6" spans="1:10" ht="7.5" customHeight="1" x14ac:dyDescent="0.25">
      <c r="A6" s="22"/>
    </row>
    <row r="7" spans="1:10" x14ac:dyDescent="0.25">
      <c r="A7" s="21" t="s">
        <v>213</v>
      </c>
    </row>
    <row r="8" spans="1:10" ht="7.5" customHeight="1" x14ac:dyDescent="0.25"/>
    <row r="9" spans="1:10" x14ac:dyDescent="0.25">
      <c r="A9" s="214" t="s">
        <v>214</v>
      </c>
      <c r="B9" s="214"/>
      <c r="C9" s="213" t="s">
        <v>118</v>
      </c>
      <c r="D9" s="213"/>
      <c r="E9" s="213"/>
      <c r="F9" s="213"/>
      <c r="H9" s="33"/>
      <c r="I9" s="2"/>
      <c r="J9" s="2"/>
    </row>
    <row r="10" spans="1:10" x14ac:dyDescent="0.25">
      <c r="A10" s="214"/>
      <c r="B10" s="214"/>
      <c r="C10" s="51">
        <v>18</v>
      </c>
      <c r="D10" s="51">
        <v>24</v>
      </c>
      <c r="E10" s="51">
        <v>30</v>
      </c>
      <c r="F10" s="51">
        <v>36</v>
      </c>
      <c r="H10" s="33"/>
      <c r="I10" s="2"/>
      <c r="J10" s="2"/>
    </row>
    <row r="11" spans="1:10" x14ac:dyDescent="0.25">
      <c r="A11" s="214"/>
      <c r="B11" s="214"/>
      <c r="C11" s="217" t="s">
        <v>235</v>
      </c>
      <c r="D11" s="217"/>
      <c r="E11" s="217"/>
      <c r="F11" s="217"/>
      <c r="H11" s="33"/>
      <c r="I11" s="2"/>
      <c r="J11" s="2"/>
    </row>
    <row r="12" spans="1:10" x14ac:dyDescent="0.25">
      <c r="A12" s="213">
        <v>100</v>
      </c>
      <c r="B12" s="213"/>
      <c r="C12" s="55">
        <v>8.3333333333333339</v>
      </c>
      <c r="D12" s="55">
        <v>7.1969696969696955</v>
      </c>
      <c r="E12" s="55">
        <v>6.333333333333333</v>
      </c>
      <c r="F12" s="55">
        <v>5.6547619047619051</v>
      </c>
      <c r="H12" s="31"/>
      <c r="I12" s="2"/>
      <c r="J12" s="32"/>
    </row>
    <row r="13" spans="1:10" x14ac:dyDescent="0.25">
      <c r="A13" s="213">
        <v>500</v>
      </c>
      <c r="B13" s="213"/>
      <c r="C13" s="53">
        <v>41.666666666666657</v>
      </c>
      <c r="D13" s="53">
        <v>35.98484848484847</v>
      </c>
      <c r="E13" s="53">
        <v>31.666666666666657</v>
      </c>
      <c r="F13" s="53">
        <v>28.273809523809518</v>
      </c>
      <c r="H13" s="31"/>
      <c r="I13" s="2"/>
      <c r="J13" s="32"/>
    </row>
    <row r="14" spans="1:10" x14ac:dyDescent="0.25">
      <c r="A14" s="213">
        <v>1000</v>
      </c>
      <c r="B14" s="213"/>
      <c r="C14" s="53">
        <v>83.333333333333314</v>
      </c>
      <c r="D14" s="53">
        <v>71.96969696969694</v>
      </c>
      <c r="E14" s="53">
        <v>63.333333333333314</v>
      </c>
      <c r="F14" s="53">
        <v>56.547619047619037</v>
      </c>
      <c r="H14" s="31"/>
      <c r="I14" s="2"/>
      <c r="J14" s="32"/>
    </row>
    <row r="15" spans="1:10" x14ac:dyDescent="0.25">
      <c r="A15" s="213">
        <v>2000</v>
      </c>
      <c r="B15" s="213"/>
      <c r="C15" s="53">
        <v>166.66666666666663</v>
      </c>
      <c r="D15" s="53">
        <v>143.93939393939388</v>
      </c>
      <c r="E15" s="53">
        <v>126.66666666666663</v>
      </c>
      <c r="F15" s="53">
        <v>113.09523809523807</v>
      </c>
      <c r="H15" s="31"/>
      <c r="I15" s="2"/>
      <c r="J15" s="32"/>
    </row>
    <row r="16" spans="1:10" x14ac:dyDescent="0.25">
      <c r="A16" s="213">
        <v>3000</v>
      </c>
      <c r="B16" s="213"/>
      <c r="C16" s="53">
        <v>250</v>
      </c>
      <c r="D16" s="53">
        <v>215.90909090909088</v>
      </c>
      <c r="E16" s="53">
        <v>190</v>
      </c>
      <c r="F16" s="53">
        <v>169.64285714285717</v>
      </c>
      <c r="H16" s="31"/>
      <c r="I16" s="2"/>
      <c r="J16" s="32"/>
    </row>
    <row r="17" spans="1:10" x14ac:dyDescent="0.25">
      <c r="A17" s="213">
        <v>4000</v>
      </c>
      <c r="B17" s="213"/>
      <c r="C17" s="53">
        <v>333.33333333333326</v>
      </c>
      <c r="D17" s="53">
        <v>287.87878787878776</v>
      </c>
      <c r="E17" s="53">
        <v>253.33333333333326</v>
      </c>
      <c r="F17" s="53">
        <v>226.19047619047615</v>
      </c>
      <c r="H17" s="31"/>
      <c r="I17" s="2"/>
      <c r="J17" s="32"/>
    </row>
    <row r="18" spans="1:10" x14ac:dyDescent="0.25">
      <c r="A18" s="213">
        <v>5000</v>
      </c>
      <c r="B18" s="213"/>
      <c r="C18" s="53">
        <v>416.66666666666669</v>
      </c>
      <c r="D18" s="53">
        <v>359.84848484848482</v>
      </c>
      <c r="E18" s="53">
        <v>316.66666666666663</v>
      </c>
      <c r="F18" s="53">
        <v>282.73809523809524</v>
      </c>
      <c r="H18" s="31"/>
      <c r="I18" s="2"/>
      <c r="J18" s="32"/>
    </row>
    <row r="19" spans="1:10" x14ac:dyDescent="0.25">
      <c r="A19" s="213">
        <v>7500</v>
      </c>
      <c r="B19" s="213"/>
      <c r="C19" s="53">
        <v>624.99999999999989</v>
      </c>
      <c r="D19" s="53">
        <v>539.77272727272714</v>
      </c>
      <c r="E19" s="53">
        <v>474.99999999999989</v>
      </c>
      <c r="F19" s="53">
        <v>424.10714285714278</v>
      </c>
      <c r="H19" s="31"/>
      <c r="I19" s="2"/>
      <c r="J19" s="32"/>
    </row>
    <row r="20" spans="1:10" x14ac:dyDescent="0.25">
      <c r="A20" s="213">
        <v>10000</v>
      </c>
      <c r="B20" s="213"/>
      <c r="C20" s="53">
        <v>833.33333333333337</v>
      </c>
      <c r="D20" s="53">
        <v>719.69696969696963</v>
      </c>
      <c r="E20" s="53">
        <v>633.33333333333326</v>
      </c>
      <c r="F20" s="53">
        <v>565.47619047619048</v>
      </c>
      <c r="H20" s="31"/>
      <c r="I20" s="2"/>
      <c r="J20" s="32"/>
    </row>
    <row r="21" spans="1:10" ht="7.5" customHeight="1" x14ac:dyDescent="0.25"/>
    <row r="22" spans="1:10" x14ac:dyDescent="0.25">
      <c r="A22" s="3" t="s">
        <v>58</v>
      </c>
      <c r="B22" s="203"/>
      <c r="C22" s="203"/>
      <c r="D22" s="203"/>
      <c r="E22" s="4"/>
      <c r="F22" s="4"/>
      <c r="G22" s="4"/>
      <c r="H22" s="4"/>
      <c r="I22" s="4"/>
      <c r="J22" s="5"/>
    </row>
    <row r="23" spans="1:10" x14ac:dyDescent="0.25">
      <c r="A23" s="3" t="s">
        <v>108</v>
      </c>
      <c r="B23" s="4"/>
      <c r="C23" s="4"/>
      <c r="D23" s="4"/>
      <c r="E23" s="150" t="s">
        <v>116</v>
      </c>
      <c r="F23" s="4"/>
      <c r="G23" s="4"/>
      <c r="H23" s="4"/>
      <c r="I23" s="4"/>
      <c r="J23" s="5"/>
    </row>
    <row r="24" spans="1:10" x14ac:dyDescent="0.25">
      <c r="A24" s="3" t="s">
        <v>109</v>
      </c>
      <c r="B24" s="4"/>
      <c r="C24" s="4"/>
      <c r="D24" s="4"/>
      <c r="E24" s="150">
        <v>0</v>
      </c>
      <c r="F24" s="4" t="s">
        <v>110</v>
      </c>
      <c r="G24" s="4"/>
      <c r="H24" s="4"/>
      <c r="I24" s="4"/>
      <c r="J24" s="5"/>
    </row>
    <row r="25" spans="1:10" x14ac:dyDescent="0.25">
      <c r="A25" s="3" t="s">
        <v>111</v>
      </c>
      <c r="B25" s="4"/>
      <c r="C25" s="4"/>
      <c r="D25" s="4"/>
      <c r="E25" s="150">
        <v>0</v>
      </c>
      <c r="F25" s="4" t="s">
        <v>115</v>
      </c>
      <c r="G25" s="4"/>
      <c r="H25" s="4"/>
      <c r="I25" s="4"/>
      <c r="J25" s="5"/>
    </row>
    <row r="26" spans="1:10" ht="26.25" customHeight="1" x14ac:dyDescent="0.25">
      <c r="A26" s="220" t="s">
        <v>229</v>
      </c>
      <c r="B26" s="221"/>
      <c r="C26" s="221"/>
      <c r="D26" s="221"/>
      <c r="E26" s="88">
        <v>0</v>
      </c>
      <c r="F26" s="218" t="s">
        <v>230</v>
      </c>
      <c r="G26" s="218"/>
      <c r="H26" s="218"/>
      <c r="I26" s="218"/>
      <c r="J26" s="219"/>
    </row>
    <row r="27" spans="1:10" x14ac:dyDescent="0.25">
      <c r="A27" s="215" t="s">
        <v>245</v>
      </c>
      <c r="B27" s="216"/>
      <c r="C27" s="216"/>
      <c r="D27" s="216"/>
      <c r="E27" s="26">
        <f>IF(((E24*E25)-E26)&lt;=10000,(E24*E25)-E26,"Not Allowed")</f>
        <v>0</v>
      </c>
      <c r="F27" s="4" t="s">
        <v>212</v>
      </c>
      <c r="G27" s="65"/>
      <c r="H27" s="65"/>
      <c r="I27" s="65"/>
      <c r="J27" s="66"/>
    </row>
    <row r="28" spans="1:10" x14ac:dyDescent="0.25">
      <c r="A28" s="6" t="s">
        <v>119</v>
      </c>
      <c r="B28" s="7"/>
      <c r="C28" s="7"/>
      <c r="D28" s="8"/>
      <c r="E28" s="123">
        <v>6</v>
      </c>
      <c r="F28" s="8" t="s">
        <v>127</v>
      </c>
      <c r="G28" s="8"/>
      <c r="H28" s="8"/>
      <c r="I28" s="8"/>
      <c r="J28" s="9"/>
    </row>
    <row r="29" spans="1:10" x14ac:dyDescent="0.25">
      <c r="A29" s="6" t="s">
        <v>121</v>
      </c>
      <c r="B29" s="7"/>
      <c r="C29" s="7"/>
      <c r="D29" s="8"/>
      <c r="E29" s="123">
        <v>18</v>
      </c>
      <c r="F29" s="8" t="s">
        <v>125</v>
      </c>
      <c r="G29" s="8"/>
      <c r="H29" s="8"/>
      <c r="I29" s="8"/>
      <c r="J29" s="9"/>
    </row>
    <row r="30" spans="1:10" x14ac:dyDescent="0.25">
      <c r="A30" s="6" t="s">
        <v>68</v>
      </c>
      <c r="B30" s="7"/>
      <c r="C30" s="7"/>
      <c r="D30" s="8"/>
      <c r="E30" s="157">
        <v>0.5</v>
      </c>
      <c r="F30" s="8" t="s">
        <v>69</v>
      </c>
      <c r="G30" s="8"/>
      <c r="H30" s="8"/>
      <c r="I30" s="8"/>
      <c r="J30" s="9"/>
    </row>
    <row r="31" spans="1:10" x14ac:dyDescent="0.25">
      <c r="A31" s="6" t="s">
        <v>112</v>
      </c>
      <c r="B31" s="7"/>
      <c r="C31" s="7"/>
      <c r="D31" s="8"/>
      <c r="E31" s="8"/>
      <c r="F31" s="8"/>
      <c r="G31" s="8"/>
      <c r="H31" s="8"/>
      <c r="I31" s="8"/>
      <c r="J31" s="9"/>
    </row>
    <row r="32" spans="1:10" x14ac:dyDescent="0.25">
      <c r="A32" s="64" t="s">
        <v>123</v>
      </c>
      <c r="B32" s="21"/>
      <c r="C32" s="21"/>
      <c r="D32" s="15"/>
      <c r="E32" s="15"/>
      <c r="F32" s="15"/>
      <c r="G32" s="29">
        <f>((1*(0.05+0.009*100)*((E27-E26)/43560))/12)*43560</f>
        <v>0</v>
      </c>
      <c r="H32" s="15" t="s">
        <v>124</v>
      </c>
      <c r="I32" s="15"/>
      <c r="J32" s="16"/>
    </row>
    <row r="33" spans="1:10" x14ac:dyDescent="0.25">
      <c r="A33" s="64" t="s">
        <v>126</v>
      </c>
      <c r="B33" s="21"/>
      <c r="C33" s="21"/>
      <c r="D33" s="15"/>
      <c r="E33" s="15"/>
      <c r="F33" s="15"/>
      <c r="G33" s="29">
        <f>G32/(((E28/12)*1)+((E29/12)*0.3))</f>
        <v>0</v>
      </c>
      <c r="H33" s="15" t="s">
        <v>13</v>
      </c>
      <c r="J33" s="16"/>
    </row>
    <row r="34" spans="1:10" x14ac:dyDescent="0.25">
      <c r="A34" s="67" t="s">
        <v>250</v>
      </c>
      <c r="B34" s="21"/>
      <c r="C34" s="21"/>
      <c r="D34" s="15"/>
      <c r="E34" s="15"/>
      <c r="F34" s="15"/>
      <c r="H34" s="54"/>
      <c r="I34" s="15"/>
      <c r="J34" s="16"/>
    </row>
    <row r="35" spans="1:10" x14ac:dyDescent="0.25">
      <c r="A35" s="68" t="s">
        <v>122</v>
      </c>
      <c r="B35" s="23"/>
      <c r="C35" s="222" t="str">
        <f>IF(E30&gt;=0.5, "NOT REQUIRED","LIKELY REQUIRED")</f>
        <v>NOT REQUIRED</v>
      </c>
      <c r="D35" s="222"/>
      <c r="E35" s="11"/>
      <c r="F35" s="11"/>
      <c r="G35" s="30"/>
      <c r="H35" s="11"/>
      <c r="I35" s="30"/>
      <c r="J35" s="14"/>
    </row>
    <row r="36" spans="1:10" ht="7.5" customHeight="1" x14ac:dyDescent="0.25">
      <c r="A36" s="21"/>
      <c r="B36" s="21"/>
      <c r="C36" s="21"/>
      <c r="D36" s="15"/>
      <c r="E36" s="15"/>
      <c r="F36" s="15"/>
      <c r="G36" s="15"/>
      <c r="H36" s="15"/>
      <c r="I36" s="15"/>
      <c r="J36" s="15"/>
    </row>
    <row r="37" spans="1:10" ht="30" customHeight="1" x14ac:dyDescent="0.25">
      <c r="A37" s="192" t="s">
        <v>251</v>
      </c>
      <c r="B37" s="193"/>
      <c r="C37" s="193"/>
      <c r="D37" s="193"/>
      <c r="E37" s="193"/>
      <c r="F37" s="193"/>
      <c r="G37" s="193"/>
      <c r="H37" s="63">
        <f>E27</f>
        <v>0</v>
      </c>
      <c r="I37" s="61" t="s">
        <v>13</v>
      </c>
      <c r="J37" s="41"/>
    </row>
  </sheetData>
  <sheetProtection sheet="1" objects="1" scenarios="1" selectLockedCells="1"/>
  <mergeCells count="24">
    <mergeCell ref="A2:J2"/>
    <mergeCell ref="B22:D22"/>
    <mergeCell ref="A1:J1"/>
    <mergeCell ref="A4:C4"/>
    <mergeCell ref="D4:J4"/>
    <mergeCell ref="A5:C5"/>
    <mergeCell ref="D5:J5"/>
    <mergeCell ref="A9:B11"/>
    <mergeCell ref="A12:B12"/>
    <mergeCell ref="A13:B13"/>
    <mergeCell ref="A14:B14"/>
    <mergeCell ref="A15:B15"/>
    <mergeCell ref="A16:B16"/>
    <mergeCell ref="A17:B17"/>
    <mergeCell ref="A18:B18"/>
    <mergeCell ref="C9:F9"/>
    <mergeCell ref="A37:G37"/>
    <mergeCell ref="A19:B19"/>
    <mergeCell ref="A20:B20"/>
    <mergeCell ref="A27:D27"/>
    <mergeCell ref="C11:F11"/>
    <mergeCell ref="F26:J26"/>
    <mergeCell ref="A26:D26"/>
    <mergeCell ref="C35:D35"/>
  </mergeCells>
  <pageMargins left="0.7" right="0.6875"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0-Instructions</vt:lpstr>
      <vt:lpstr>1-Project Information</vt:lpstr>
      <vt:lpstr>2-Soil depth and quality</vt:lpstr>
      <vt:lpstr>3-Tree retention and planting</vt:lpstr>
      <vt:lpstr>4-Cisterns &amp; rain barrels</vt:lpstr>
      <vt:lpstr>5-Rooftop disconnection</vt:lpstr>
      <vt:lpstr>6-Non-rooftop disconnection</vt:lpstr>
      <vt:lpstr>7-Drywell</vt:lpstr>
      <vt:lpstr>8-Bioretention and rain gardens</vt:lpstr>
      <vt:lpstr>9-Vegetated swale</vt:lpstr>
      <vt:lpstr>10-Infiltration trench</vt:lpstr>
      <vt:lpstr>11-Permeable pavers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Amy Macrellis</dc:creator>
  <cp:lastModifiedBy>Sophie</cp:lastModifiedBy>
  <cp:lastPrinted>2015-10-12T12:18:36Z</cp:lastPrinted>
  <dcterms:created xsi:type="dcterms:W3CDTF">2015-07-29T12:42:10Z</dcterms:created>
  <dcterms:modified xsi:type="dcterms:W3CDTF">2016-02-24T15:04:31Z</dcterms:modified>
</cp:coreProperties>
</file>